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8.xml" ContentType="application/vnd.openxmlformats-officedocument.drawing+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OWNER\Raul\BEIT BERL\Erasmus Plus - Mofet\Last versions of pre-proj phase\"/>
    </mc:Choice>
  </mc:AlternateContent>
  <workbookProtection workbookPassword="E359" lockStructure="1"/>
  <bookViews>
    <workbookView xWindow="2736" yWindow="1680" windowWidth="19440" windowHeight="10800" tabRatio="942"/>
  </bookViews>
  <sheets>
    <sheet name="Overview" sheetId="41" r:id="rId1"/>
    <sheet name="1. Staff costs" sheetId="40" r:id="rId2"/>
    <sheet name="2-3. Travel Costs&amp;Costs of Stay" sheetId="39" r:id="rId3"/>
    <sheet name="4. Equipment Costs" sheetId="26" r:id="rId4"/>
    <sheet name="5. Subcontracting Costs" sheetId="70" r:id="rId5"/>
    <sheet name="B. Special Mob Strand - Student" sheetId="67" r:id="rId6"/>
    <sheet name="B. Special Mob Strand - Staff" sheetId="72" r:id="rId7"/>
    <sheet name="Co-financing" sheetId="71" r:id="rId8"/>
    <sheet name="Breakdown &amp; Project Funding" sheetId="55" r:id="rId9"/>
    <sheet name="Rates" sheetId="36" state="hidden" r:id="rId10"/>
    <sheet name="Unit Costs &amp; Funding Rule" sheetId="73" r:id="rId11"/>
  </sheets>
  <definedNames>
    <definedName name="_xlnm._FilterDatabase" localSheetId="10" hidden="1">'Unit Costs &amp; Funding Rule'!$B$7:$AB$7</definedName>
    <definedName name="ActionType">Rates!$P$20:$P$21</definedName>
    <definedName name="Category">Rates!$E$3:$L$3</definedName>
    <definedName name="Category2">Rates!$P$28:$P$29</definedName>
    <definedName name="CountryALL">Rates!$C$4:$C$182</definedName>
    <definedName name="CountryEligEquip">Rates!$C$37:$C$182</definedName>
    <definedName name="CountryType">Rates!$C$4:$D$182</definedName>
    <definedName name="Duration">Rates!$P$24:$P$25</definedName>
    <definedName name="EUCountry">Rates!$C$4:$C$36</definedName>
    <definedName name="PartnerN°">Overview!$B$33:$B$87</definedName>
    <definedName name="PartnerN°Ref">Overview!$B$33:$E$87</definedName>
    <definedName name="_xlnm.Print_Area" localSheetId="1">'1. Staff costs'!$A$1:$U$73</definedName>
    <definedName name="_xlnm.Print_Area" localSheetId="2">'2-3. Travel Costs&amp;Costs of Stay'!$A$1:$P$219</definedName>
    <definedName name="_xlnm.Print_Area" localSheetId="3">'4. Equipment Costs'!$A$1:$J$21</definedName>
    <definedName name="_xlnm.Print_Area" localSheetId="4">'5. Subcontracting Costs'!$A$1:$J$26</definedName>
    <definedName name="_xlnm.Print_Area" localSheetId="6">'B. Special Mob Strand - Staff'!$A$1:$S$36</definedName>
    <definedName name="_xlnm.Print_Area" localSheetId="5">'B. Special Mob Strand - Student'!$A$1:$S$34</definedName>
    <definedName name="_xlnm.Print_Area" localSheetId="8">'Breakdown &amp; Project Funding'!$A$1:$J$82</definedName>
    <definedName name="_xlnm.Print_Area" localSheetId="7">'Co-financing'!$A$1:$K$49</definedName>
    <definedName name="_xlnm.Print_Area" localSheetId="0">Overview!$A$1:$M$88</definedName>
    <definedName name="_xlnm.Print_Area" localSheetId="10">'Unit Costs &amp; Funding Rule'!$B$1:$AB$187</definedName>
    <definedName name="_xlnm.Print_Titles" localSheetId="2">'2-3. Travel Costs&amp;Costs of Stay'!$11:$12</definedName>
    <definedName name="_xlnm.Print_Titles" localSheetId="3">'4. Equipment Costs'!$11:$12</definedName>
    <definedName name="_xlnm.Print_Titles" localSheetId="4">'5. Subcontracting Costs'!$11:$12</definedName>
    <definedName name="_xlnm.Print_Titles" localSheetId="6">'B. Special Mob Strand - Staff'!$11:$12</definedName>
    <definedName name="_xlnm.Print_Titles" localSheetId="5">'B. Special Mob Strand - Student'!$11:$12</definedName>
    <definedName name="_xlnm.Print_Titles" localSheetId="8">'Breakdown &amp; Project Funding'!$4:$4</definedName>
    <definedName name="_xlnm.Print_Titles" localSheetId="7">'Co-financing'!$11:$12</definedName>
    <definedName name="Rates">Rates!$E$4:$L$182</definedName>
    <definedName name="SMSCountry">Rates!$N$4:$N$57</definedName>
    <definedName name="StaffSMSDays">Rates!$B$8:$B$63</definedName>
    <definedName name="StudentSMSMonths">Rates!$B$5:$B$15</definedName>
    <definedName name="TravelBands">Rates!$P$4:$P$10</definedName>
    <definedName name="TravelCosts">Rates!$P$4:$Q$10</definedName>
    <definedName name="WorkPackage">Rates!$P$13:$P$17</definedName>
    <definedName name="Z_D7932BCF_3472_4742_BE90_75070A4D3346_.wvu.Cols" localSheetId="1" hidden="1">'1. Staff costs'!$T:$XFD</definedName>
    <definedName name="Z_D7932BCF_3472_4742_BE90_75070A4D3346_.wvu.Cols" localSheetId="2" hidden="1">'2-3. Travel Costs&amp;Costs of Stay'!$P:$XFD</definedName>
    <definedName name="Z_D7932BCF_3472_4742_BE90_75070A4D3346_.wvu.Cols" localSheetId="3" hidden="1">'4. Equipment Costs'!$I:$XFD</definedName>
    <definedName name="Z_D7932BCF_3472_4742_BE90_75070A4D3346_.wvu.Cols" localSheetId="4" hidden="1">'5. Subcontracting Costs'!$J:$XFD</definedName>
    <definedName name="Z_D7932BCF_3472_4742_BE90_75070A4D3346_.wvu.Cols" localSheetId="6" hidden="1">'B. Special Mob Strand - Staff'!$O:$XFD</definedName>
    <definedName name="Z_D7932BCF_3472_4742_BE90_75070A4D3346_.wvu.Cols" localSheetId="5" hidden="1">'B. Special Mob Strand - Student'!$O:$XFD</definedName>
    <definedName name="Z_D7932BCF_3472_4742_BE90_75070A4D3346_.wvu.Cols" localSheetId="8" hidden="1">'Breakdown &amp; Project Funding'!$J:$XFD</definedName>
    <definedName name="Z_D7932BCF_3472_4742_BE90_75070A4D3346_.wvu.Cols" localSheetId="7" hidden="1">'Co-financing'!$K:$XFD</definedName>
    <definedName name="Z_D7932BCF_3472_4742_BE90_75070A4D3346_.wvu.Rows" localSheetId="1" hidden="1">'1. Staff costs'!$73:$1048576,'1. Staff costs'!#REF!</definedName>
    <definedName name="Z_D7932BCF_3472_4742_BE90_75070A4D3346_.wvu.Rows" localSheetId="2" hidden="1">'2-3. Travel Costs&amp;Costs of Stay'!$219:$1048576,'2-3. Travel Costs&amp;Costs of Stay'!#REF!</definedName>
    <definedName name="Z_D7932BCF_3472_4742_BE90_75070A4D3346_.wvu.Rows" localSheetId="3" hidden="1">'4. Equipment Costs'!$21:$1048576,'4. Equipment Costs'!#REF!</definedName>
    <definedName name="Z_D7932BCF_3472_4742_BE90_75070A4D3346_.wvu.Rows" localSheetId="4" hidden="1">'5. Subcontracting Costs'!$26:$1048576,'5. Subcontracting Costs'!#REF!</definedName>
    <definedName name="Z_D7932BCF_3472_4742_BE90_75070A4D3346_.wvu.Rows" localSheetId="6" hidden="1">'B. Special Mob Strand - Staff'!$36:$1048576,'B. Special Mob Strand - Staff'!#REF!</definedName>
    <definedName name="Z_D7932BCF_3472_4742_BE90_75070A4D3346_.wvu.Rows" localSheetId="5" hidden="1">'B. Special Mob Strand - Student'!$34:$1048576,'B. Special Mob Strand - Student'!#REF!</definedName>
    <definedName name="Z_D7932BCF_3472_4742_BE90_75070A4D3346_.wvu.Rows" localSheetId="8" hidden="1">'Breakdown &amp; Project Funding'!$11:$1048576,'Breakdown &amp; Project Funding'!#REF!</definedName>
    <definedName name="Z_D7932BCF_3472_4742_BE90_75070A4D3346_.wvu.Rows" localSheetId="7" hidden="1">'Co-financing'!$45:$1048576,'Co-financing'!#REF!</definedName>
  </definedNames>
  <calcPr calcId="152511"/>
  <customWorkbookViews>
    <customWorkbookView name="test" guid="{D7932BCF-3472-4742-BE90-75070A4D3346}" maximized="1" windowWidth="1916" windowHeight="775" tabRatio="795" activeSheetId="24"/>
  </customWorkbookViews>
</workbook>
</file>

<file path=xl/calcChain.xml><?xml version="1.0" encoding="utf-8"?>
<calcChain xmlns="http://schemas.openxmlformats.org/spreadsheetml/2006/main">
  <c r="D38" i="71" l="1"/>
  <c r="C38" i="71"/>
  <c r="J38" i="71" s="1"/>
  <c r="I38" i="71" s="1"/>
  <c r="D41" i="71"/>
  <c r="C41" i="71"/>
  <c r="J41" i="71" s="1"/>
  <c r="I41" i="71" s="1"/>
  <c r="D40" i="71"/>
  <c r="C40" i="71"/>
  <c r="R34" i="72"/>
  <c r="D34" i="72"/>
  <c r="P34" i="72" s="1"/>
  <c r="C34" i="72"/>
  <c r="R33" i="72"/>
  <c r="D33" i="72"/>
  <c r="P33" i="72" s="1"/>
  <c r="C33" i="72"/>
  <c r="R32" i="72"/>
  <c r="D32" i="72"/>
  <c r="P32" i="72" s="1"/>
  <c r="C32" i="72"/>
  <c r="R31" i="72"/>
  <c r="D31" i="72"/>
  <c r="P31" i="72" s="1"/>
  <c r="C31" i="72"/>
  <c r="R30" i="72"/>
  <c r="D30" i="72"/>
  <c r="P30" i="72" s="1"/>
  <c r="C30" i="72"/>
  <c r="R29" i="72"/>
  <c r="D29" i="72"/>
  <c r="P29" i="72" s="1"/>
  <c r="C29" i="72"/>
  <c r="R28" i="72"/>
  <c r="D28" i="72"/>
  <c r="Q28" i="72" s="1"/>
  <c r="C28" i="72"/>
  <c r="R27" i="72"/>
  <c r="D27" i="72"/>
  <c r="P27" i="72" s="1"/>
  <c r="C27" i="72"/>
  <c r="R26" i="72"/>
  <c r="D26" i="72"/>
  <c r="Q26" i="72" s="1"/>
  <c r="C26" i="72"/>
  <c r="R25" i="72"/>
  <c r="D25" i="72"/>
  <c r="E25" i="72" s="1"/>
  <c r="C25" i="72"/>
  <c r="R24" i="72"/>
  <c r="D24" i="72"/>
  <c r="Q24" i="72" s="1"/>
  <c r="C24" i="72"/>
  <c r="R23" i="72"/>
  <c r="D23" i="72"/>
  <c r="E23" i="72" s="1"/>
  <c r="C23" i="72"/>
  <c r="R22" i="72"/>
  <c r="D22" i="72"/>
  <c r="P22" i="72" s="1"/>
  <c r="C22" i="72"/>
  <c r="R33" i="67"/>
  <c r="D33" i="67"/>
  <c r="P33" i="67" s="1"/>
  <c r="C33" i="67"/>
  <c r="R32" i="67"/>
  <c r="D32" i="67"/>
  <c r="Q32" i="67" s="1"/>
  <c r="C32" i="67"/>
  <c r="R30" i="67"/>
  <c r="D30" i="67"/>
  <c r="Q30" i="67" s="1"/>
  <c r="C30" i="67"/>
  <c r="R29" i="67"/>
  <c r="D29" i="67"/>
  <c r="P29" i="67" s="1"/>
  <c r="C29" i="67"/>
  <c r="R27" i="67"/>
  <c r="D27" i="67"/>
  <c r="P27" i="67" s="1"/>
  <c r="C27" i="67"/>
  <c r="R26" i="67"/>
  <c r="D26" i="67"/>
  <c r="Q26" i="67" s="1"/>
  <c r="C26" i="67"/>
  <c r="R24" i="67"/>
  <c r="D24" i="67"/>
  <c r="P24" i="67" s="1"/>
  <c r="C24" i="67"/>
  <c r="R23" i="67"/>
  <c r="D23" i="67"/>
  <c r="P23" i="67" s="1"/>
  <c r="C23" i="67"/>
  <c r="R21" i="67"/>
  <c r="D21" i="67"/>
  <c r="P21" i="67" s="1"/>
  <c r="C21" i="67"/>
  <c r="R20" i="67"/>
  <c r="D20" i="67"/>
  <c r="P20" i="67" s="1"/>
  <c r="C20" i="67"/>
  <c r="R15" i="67"/>
  <c r="D15" i="67"/>
  <c r="E15" i="67" s="1"/>
  <c r="C15" i="67"/>
  <c r="R18" i="67"/>
  <c r="D18" i="67"/>
  <c r="E18" i="67" s="1"/>
  <c r="C18" i="67"/>
  <c r="R17" i="67"/>
  <c r="D17" i="67"/>
  <c r="P17" i="67" s="1"/>
  <c r="C17" i="67"/>
  <c r="R35" i="72"/>
  <c r="D35" i="72"/>
  <c r="P35" i="72" s="1"/>
  <c r="C35" i="72"/>
  <c r="R21" i="72"/>
  <c r="D21" i="72"/>
  <c r="Q21" i="72" s="1"/>
  <c r="C21" i="72"/>
  <c r="R20" i="72"/>
  <c r="D20" i="72"/>
  <c r="P20" i="72" s="1"/>
  <c r="C20" i="72"/>
  <c r="R19" i="72"/>
  <c r="D19" i="72"/>
  <c r="P19" i="72" s="1"/>
  <c r="C19" i="72"/>
  <c r="R18" i="72"/>
  <c r="D18" i="72"/>
  <c r="P18" i="72" s="1"/>
  <c r="C18" i="72"/>
  <c r="R17" i="72"/>
  <c r="D17" i="72"/>
  <c r="P17" i="72" s="1"/>
  <c r="C17" i="72"/>
  <c r="R16" i="72"/>
  <c r="D16" i="72"/>
  <c r="E16" i="72" s="1"/>
  <c r="C16" i="72"/>
  <c r="R15" i="72"/>
  <c r="D15" i="72"/>
  <c r="E15" i="72" s="1"/>
  <c r="C15" i="72"/>
  <c r="R31" i="67"/>
  <c r="D31" i="67"/>
  <c r="P31" i="67" s="1"/>
  <c r="C31" i="67"/>
  <c r="R28" i="67"/>
  <c r="D28" i="67"/>
  <c r="P28" i="67" s="1"/>
  <c r="C28" i="67"/>
  <c r="R25" i="67"/>
  <c r="D25" i="67"/>
  <c r="P25" i="67" s="1"/>
  <c r="C25" i="67"/>
  <c r="R22" i="67"/>
  <c r="D22" i="67"/>
  <c r="E22" i="67" s="1"/>
  <c r="C22" i="67"/>
  <c r="R19" i="67"/>
  <c r="D19" i="67"/>
  <c r="E19" i="67" s="1"/>
  <c r="C19" i="67"/>
  <c r="R16" i="67"/>
  <c r="D16" i="67"/>
  <c r="P16" i="67" s="1"/>
  <c r="C16" i="67"/>
  <c r="J40" i="71" l="1"/>
  <c r="I40" i="71" s="1"/>
  <c r="Q34" i="72"/>
  <c r="E34" i="72"/>
  <c r="Q33" i="72"/>
  <c r="E33" i="72"/>
  <c r="Q32" i="72"/>
  <c r="E32" i="72"/>
  <c r="Q31" i="72"/>
  <c r="E31" i="72"/>
  <c r="O31" i="72" s="1"/>
  <c r="Q30" i="72"/>
  <c r="E30" i="72"/>
  <c r="Q29" i="72"/>
  <c r="E29" i="72"/>
  <c r="Q27" i="72"/>
  <c r="E28" i="72"/>
  <c r="P28" i="72"/>
  <c r="E27" i="72"/>
  <c r="E26" i="72"/>
  <c r="P26" i="72"/>
  <c r="Q25" i="72"/>
  <c r="P25" i="72"/>
  <c r="P23" i="72"/>
  <c r="Q23" i="72"/>
  <c r="E24" i="72"/>
  <c r="P24" i="72"/>
  <c r="Q22" i="72"/>
  <c r="E22" i="72"/>
  <c r="Q33" i="67"/>
  <c r="E33" i="67"/>
  <c r="O33" i="67" s="1"/>
  <c r="L33" i="67" s="1"/>
  <c r="E32" i="67"/>
  <c r="P32" i="67"/>
  <c r="O32" i="67" s="1"/>
  <c r="E30" i="67"/>
  <c r="P30" i="67"/>
  <c r="Q29" i="67"/>
  <c r="E29" i="67"/>
  <c r="O29" i="67" s="1"/>
  <c r="Q27" i="67"/>
  <c r="E27" i="67"/>
  <c r="E26" i="67"/>
  <c r="P26" i="67"/>
  <c r="O26" i="67" s="1"/>
  <c r="Q24" i="67"/>
  <c r="E24" i="67"/>
  <c r="O24" i="67" s="1"/>
  <c r="Q23" i="67"/>
  <c r="E23" i="67"/>
  <c r="O23" i="67" s="1"/>
  <c r="Q20" i="67"/>
  <c r="Q21" i="67"/>
  <c r="E21" i="67"/>
  <c r="E20" i="67"/>
  <c r="P15" i="67"/>
  <c r="Q15" i="67"/>
  <c r="P18" i="67"/>
  <c r="Q18" i="67"/>
  <c r="Q17" i="67"/>
  <c r="E17" i="67"/>
  <c r="O17" i="67" s="1"/>
  <c r="Q35" i="72"/>
  <c r="E35" i="72"/>
  <c r="Q18" i="72"/>
  <c r="Q19" i="72"/>
  <c r="Q20" i="72"/>
  <c r="E21" i="72"/>
  <c r="P21" i="72"/>
  <c r="E20" i="72"/>
  <c r="E19" i="72"/>
  <c r="E18" i="72"/>
  <c r="Q17" i="72"/>
  <c r="E17" i="72"/>
  <c r="Q15" i="72"/>
  <c r="P16" i="72"/>
  <c r="Q16" i="72"/>
  <c r="P15" i="72"/>
  <c r="Q28" i="67"/>
  <c r="Q31" i="67"/>
  <c r="E31" i="67"/>
  <c r="E28" i="67"/>
  <c r="Q19" i="67"/>
  <c r="Q25" i="67"/>
  <c r="Q22" i="67"/>
  <c r="E25" i="67"/>
  <c r="P22" i="67"/>
  <c r="P19" i="67"/>
  <c r="Q16" i="67"/>
  <c r="E16" i="67"/>
  <c r="E213" i="39"/>
  <c r="D213" i="39"/>
  <c r="E208" i="39"/>
  <c r="D208" i="39"/>
  <c r="O208" i="39" s="1"/>
  <c r="E203" i="39"/>
  <c r="D203" i="39"/>
  <c r="E137" i="39"/>
  <c r="D137" i="39"/>
  <c r="E132" i="39"/>
  <c r="D132" i="39"/>
  <c r="E127" i="39"/>
  <c r="D127" i="39"/>
  <c r="E120" i="39"/>
  <c r="D120" i="39"/>
  <c r="E115" i="39"/>
  <c r="D115" i="39"/>
  <c r="O115" i="39" s="1"/>
  <c r="E110" i="39"/>
  <c r="D110" i="39"/>
  <c r="E104" i="39"/>
  <c r="D104" i="39"/>
  <c r="O104" i="39" s="1"/>
  <c r="E99" i="39"/>
  <c r="D99" i="39"/>
  <c r="E94" i="39"/>
  <c r="D94" i="39"/>
  <c r="O94" i="39" s="1"/>
  <c r="O32" i="72" l="1"/>
  <c r="O34" i="72"/>
  <c r="M34" i="72" s="1"/>
  <c r="O33" i="72"/>
  <c r="L33" i="72" s="1"/>
  <c r="L34" i="72"/>
  <c r="O30" i="72"/>
  <c r="M30" i="72" s="1"/>
  <c r="M33" i="72"/>
  <c r="L32" i="72"/>
  <c r="M32" i="72"/>
  <c r="O27" i="72"/>
  <c r="L27" i="72" s="1"/>
  <c r="O29" i="72"/>
  <c r="M29" i="72" s="1"/>
  <c r="L31" i="72"/>
  <c r="M31" i="72"/>
  <c r="O23" i="72"/>
  <c r="L23" i="72" s="1"/>
  <c r="O25" i="72"/>
  <c r="L25" i="72" s="1"/>
  <c r="O28" i="72"/>
  <c r="L28" i="72" s="1"/>
  <c r="O26" i="72"/>
  <c r="L26" i="72" s="1"/>
  <c r="O17" i="72"/>
  <c r="M17" i="72" s="1"/>
  <c r="O22" i="72"/>
  <c r="L22" i="72" s="1"/>
  <c r="O35" i="72"/>
  <c r="L35" i="72" s="1"/>
  <c r="O24" i="72"/>
  <c r="M24" i="72" s="1"/>
  <c r="O18" i="72"/>
  <c r="L18" i="72" s="1"/>
  <c r="O19" i="72"/>
  <c r="L19" i="72" s="1"/>
  <c r="O30" i="67"/>
  <c r="M30" i="67" s="1"/>
  <c r="O27" i="67"/>
  <c r="L27" i="67" s="1"/>
  <c r="O20" i="67"/>
  <c r="L20" i="67" s="1"/>
  <c r="M33" i="67"/>
  <c r="N33" i="67" s="1"/>
  <c r="M32" i="67"/>
  <c r="L32" i="67"/>
  <c r="L29" i="67"/>
  <c r="M29" i="67"/>
  <c r="M26" i="67"/>
  <c r="L26" i="67"/>
  <c r="O21" i="67"/>
  <c r="L21" i="67" s="1"/>
  <c r="L24" i="67"/>
  <c r="M24" i="67"/>
  <c r="L23" i="67"/>
  <c r="M23" i="67"/>
  <c r="O18" i="67"/>
  <c r="L18" i="67" s="1"/>
  <c r="O15" i="67"/>
  <c r="M15" i="67" s="1"/>
  <c r="O31" i="67"/>
  <c r="M31" i="67" s="1"/>
  <c r="L17" i="67"/>
  <c r="M17" i="67"/>
  <c r="O22" i="67"/>
  <c r="L22" i="67" s="1"/>
  <c r="O19" i="67"/>
  <c r="M19" i="67" s="1"/>
  <c r="O20" i="72"/>
  <c r="M20" i="72" s="1"/>
  <c r="O21" i="72"/>
  <c r="L21" i="72" s="1"/>
  <c r="O16" i="72"/>
  <c r="M16" i="72" s="1"/>
  <c r="O15" i="72"/>
  <c r="M15" i="72" s="1"/>
  <c r="O28" i="67"/>
  <c r="M28" i="67" s="1"/>
  <c r="O25" i="67"/>
  <c r="M25" i="67" s="1"/>
  <c r="O16" i="67"/>
  <c r="L16" i="67" s="1"/>
  <c r="O99" i="39"/>
  <c r="M99" i="39" s="1"/>
  <c r="O110" i="39"/>
  <c r="L110" i="39" s="1"/>
  <c r="O120" i="39"/>
  <c r="M120" i="39" s="1"/>
  <c r="O132" i="39"/>
  <c r="M132" i="39" s="1"/>
  <c r="O203" i="39"/>
  <c r="M203" i="39" s="1"/>
  <c r="O213" i="39"/>
  <c r="M213" i="39" s="1"/>
  <c r="O137" i="39"/>
  <c r="L137" i="39" s="1"/>
  <c r="O127" i="39"/>
  <c r="M127" i="39" s="1"/>
  <c r="M208" i="39"/>
  <c r="L208" i="39"/>
  <c r="M115" i="39"/>
  <c r="L115" i="39"/>
  <c r="M104" i="39"/>
  <c r="L104" i="39"/>
  <c r="M94" i="39"/>
  <c r="L94" i="39"/>
  <c r="L30" i="72" l="1"/>
  <c r="M27" i="72"/>
  <c r="N27" i="72" s="1"/>
  <c r="N34" i="72"/>
  <c r="N33" i="72"/>
  <c r="L29" i="72"/>
  <c r="N29" i="72" s="1"/>
  <c r="N32" i="72"/>
  <c r="N31" i="72"/>
  <c r="M23" i="72"/>
  <c r="N23" i="72" s="1"/>
  <c r="N30" i="72"/>
  <c r="M25" i="72"/>
  <c r="N25" i="72" s="1"/>
  <c r="M35" i="72"/>
  <c r="N35" i="72" s="1"/>
  <c r="L17" i="72"/>
  <c r="N17" i="72" s="1"/>
  <c r="M22" i="72"/>
  <c r="N22" i="72" s="1"/>
  <c r="M26" i="72"/>
  <c r="N26" i="72" s="1"/>
  <c r="M28" i="72"/>
  <c r="N28" i="72" s="1"/>
  <c r="M18" i="72"/>
  <c r="N18" i="72" s="1"/>
  <c r="L20" i="72"/>
  <c r="N20" i="72" s="1"/>
  <c r="L24" i="72"/>
  <c r="N24" i="72" s="1"/>
  <c r="M19" i="72"/>
  <c r="N19" i="72" s="1"/>
  <c r="M21" i="72"/>
  <c r="N21" i="72" s="1"/>
  <c r="L31" i="67"/>
  <c r="N31" i="67" s="1"/>
  <c r="M20" i="67"/>
  <c r="N20" i="67" s="1"/>
  <c r="M27" i="67"/>
  <c r="N27" i="67" s="1"/>
  <c r="L30" i="67"/>
  <c r="N30" i="67" s="1"/>
  <c r="N32" i="67"/>
  <c r="N29" i="67"/>
  <c r="L15" i="67"/>
  <c r="N15" i="67" s="1"/>
  <c r="L19" i="67"/>
  <c r="N19" i="67" s="1"/>
  <c r="M18" i="67"/>
  <c r="N18" i="67" s="1"/>
  <c r="N26" i="67"/>
  <c r="M21" i="67"/>
  <c r="N21" i="67" s="1"/>
  <c r="N24" i="67"/>
  <c r="N23" i="67"/>
  <c r="M22" i="67"/>
  <c r="N22" i="67" s="1"/>
  <c r="N17" i="67"/>
  <c r="L16" i="72"/>
  <c r="N16" i="72" s="1"/>
  <c r="L15" i="72"/>
  <c r="N15" i="72" s="1"/>
  <c r="L28" i="67"/>
  <c r="N28" i="67" s="1"/>
  <c r="L25" i="67"/>
  <c r="N25" i="67" s="1"/>
  <c r="M16" i="67"/>
  <c r="N16" i="67" s="1"/>
  <c r="N104" i="39"/>
  <c r="M110" i="39"/>
  <c r="N110" i="39" s="1"/>
  <c r="L203" i="39"/>
  <c r="N203" i="39" s="1"/>
  <c r="L132" i="39"/>
  <c r="L213" i="39"/>
  <c r="N213" i="39" s="1"/>
  <c r="M137" i="39"/>
  <c r="N137" i="39" s="1"/>
  <c r="N94" i="39"/>
  <c r="L120" i="39"/>
  <c r="N120" i="39" s="1"/>
  <c r="L99" i="39"/>
  <c r="N99" i="39" s="1"/>
  <c r="N208" i="39"/>
  <c r="L127" i="39"/>
  <c r="N127" i="39" s="1"/>
  <c r="N132" i="39"/>
  <c r="N115" i="39"/>
  <c r="D31" i="71" l="1"/>
  <c r="C31" i="71"/>
  <c r="J31" i="71" s="1"/>
  <c r="I31" i="71" s="1"/>
  <c r="D44" i="71"/>
  <c r="C44" i="71"/>
  <c r="D43" i="71"/>
  <c r="C43" i="71"/>
  <c r="J43" i="71" s="1"/>
  <c r="I43" i="71" s="1"/>
  <c r="D42" i="71"/>
  <c r="C42" i="71"/>
  <c r="J42" i="71" l="1"/>
  <c r="I42" i="71" s="1"/>
  <c r="J44" i="71"/>
  <c r="I44" i="71" s="1"/>
  <c r="E87" i="39"/>
  <c r="D87" i="39"/>
  <c r="O87" i="39" l="1"/>
  <c r="M87" i="39" s="1"/>
  <c r="E215" i="39"/>
  <c r="D215" i="39"/>
  <c r="E210" i="39"/>
  <c r="D210" i="39"/>
  <c r="E205" i="39"/>
  <c r="D205" i="39"/>
  <c r="E196" i="39"/>
  <c r="D196" i="39"/>
  <c r="E191" i="39"/>
  <c r="D191" i="39"/>
  <c r="E186" i="39"/>
  <c r="D186" i="39"/>
  <c r="E176" i="39"/>
  <c r="D176" i="39"/>
  <c r="E171" i="39"/>
  <c r="D171" i="39"/>
  <c r="E166" i="39"/>
  <c r="D166" i="39"/>
  <c r="E156" i="39"/>
  <c r="D156" i="39"/>
  <c r="E151" i="39"/>
  <c r="D151" i="39"/>
  <c r="E146" i="39"/>
  <c r="D146" i="39"/>
  <c r="E139" i="39"/>
  <c r="D139" i="39"/>
  <c r="E134" i="39"/>
  <c r="D134" i="39"/>
  <c r="E129" i="39"/>
  <c r="D129" i="39"/>
  <c r="E122" i="39"/>
  <c r="D122" i="39"/>
  <c r="E117" i="39"/>
  <c r="D117" i="39"/>
  <c r="E112" i="39"/>
  <c r="D112" i="39"/>
  <c r="E106" i="39"/>
  <c r="D106" i="39"/>
  <c r="E101" i="39"/>
  <c r="D101" i="39"/>
  <c r="E96" i="39"/>
  <c r="D96" i="39"/>
  <c r="E82" i="39"/>
  <c r="D82" i="39"/>
  <c r="E77" i="39"/>
  <c r="D77" i="39"/>
  <c r="E68" i="39"/>
  <c r="D68" i="39"/>
  <c r="E63" i="39"/>
  <c r="D63" i="39"/>
  <c r="E58" i="39"/>
  <c r="D58" i="39"/>
  <c r="E49" i="39"/>
  <c r="D49" i="39"/>
  <c r="E44" i="39"/>
  <c r="D44" i="39"/>
  <c r="E39" i="39"/>
  <c r="D39" i="39"/>
  <c r="E29" i="39"/>
  <c r="D29" i="39"/>
  <c r="E24" i="39"/>
  <c r="D24" i="39"/>
  <c r="E19" i="39"/>
  <c r="D19" i="39"/>
  <c r="O19" i="39" l="1"/>
  <c r="L19" i="39" s="1"/>
  <c r="O29" i="39"/>
  <c r="M29" i="39" s="1"/>
  <c r="O44" i="39"/>
  <c r="L44" i="39" s="1"/>
  <c r="O58" i="39"/>
  <c r="L58" i="39" s="1"/>
  <c r="O68" i="39"/>
  <c r="M68" i="39" s="1"/>
  <c r="O82" i="39"/>
  <c r="L82" i="39" s="1"/>
  <c r="O112" i="39"/>
  <c r="M112" i="39" s="1"/>
  <c r="O122" i="39"/>
  <c r="M122" i="39" s="1"/>
  <c r="O134" i="39"/>
  <c r="L134" i="39" s="1"/>
  <c r="O146" i="39"/>
  <c r="M146" i="39" s="1"/>
  <c r="O156" i="39"/>
  <c r="L156" i="39" s="1"/>
  <c r="O171" i="39"/>
  <c r="M171" i="39" s="1"/>
  <c r="O186" i="39"/>
  <c r="M186" i="39" s="1"/>
  <c r="O196" i="39"/>
  <c r="M196" i="39" s="1"/>
  <c r="O210" i="39"/>
  <c r="L210" i="39" s="1"/>
  <c r="L87" i="39"/>
  <c r="N87" i="39" s="1"/>
  <c r="O101" i="39"/>
  <c r="L101" i="39" s="1"/>
  <c r="O24" i="39"/>
  <c r="L24" i="39" s="1"/>
  <c r="O39" i="39"/>
  <c r="M39" i="39" s="1"/>
  <c r="O49" i="39"/>
  <c r="M49" i="39" s="1"/>
  <c r="O63" i="39"/>
  <c r="M63" i="39" s="1"/>
  <c r="O77" i="39"/>
  <c r="M77" i="39" s="1"/>
  <c r="O96" i="39"/>
  <c r="M96" i="39" s="1"/>
  <c r="O106" i="39"/>
  <c r="M106" i="39" s="1"/>
  <c r="O117" i="39"/>
  <c r="M117" i="39" s="1"/>
  <c r="O129" i="39"/>
  <c r="M129" i="39" s="1"/>
  <c r="O139" i="39"/>
  <c r="L139" i="39" s="1"/>
  <c r="O151" i="39"/>
  <c r="M151" i="39" s="1"/>
  <c r="O166" i="39"/>
  <c r="M166" i="39" s="1"/>
  <c r="O176" i="39"/>
  <c r="M176" i="39" s="1"/>
  <c r="O191" i="39"/>
  <c r="M191" i="39" s="1"/>
  <c r="O205" i="39"/>
  <c r="M205" i="39" s="1"/>
  <c r="O215" i="39"/>
  <c r="M215" i="39" s="1"/>
  <c r="L68" i="39"/>
  <c r="L29" i="39"/>
  <c r="M19" i="39"/>
  <c r="L186" i="39" l="1"/>
  <c r="N186" i="39" s="1"/>
  <c r="L196" i="39"/>
  <c r="N196" i="39" s="1"/>
  <c r="M134" i="39"/>
  <c r="N134" i="39" s="1"/>
  <c r="M101" i="39"/>
  <c r="N101" i="39" s="1"/>
  <c r="M82" i="39"/>
  <c r="N82" i="39" s="1"/>
  <c r="L146" i="39"/>
  <c r="N146" i="39" s="1"/>
  <c r="M58" i="39"/>
  <c r="N58" i="39" s="1"/>
  <c r="L171" i="39"/>
  <c r="N171" i="39" s="1"/>
  <c r="M210" i="39"/>
  <c r="N210" i="39" s="1"/>
  <c r="M44" i="39"/>
  <c r="N44" i="39" s="1"/>
  <c r="L122" i="39"/>
  <c r="N122" i="39" s="1"/>
  <c r="M24" i="39"/>
  <c r="N24" i="39" s="1"/>
  <c r="L49" i="39"/>
  <c r="N49" i="39" s="1"/>
  <c r="L112" i="39"/>
  <c r="N112" i="39" s="1"/>
  <c r="M156" i="39"/>
  <c r="N156" i="39" s="1"/>
  <c r="L39" i="39"/>
  <c r="N39" i="39" s="1"/>
  <c r="L77" i="39"/>
  <c r="N77" i="39" s="1"/>
  <c r="L205" i="39"/>
  <c r="N205" i="39" s="1"/>
  <c r="L191" i="39"/>
  <c r="N191" i="39" s="1"/>
  <c r="L176" i="39"/>
  <c r="N176" i="39" s="1"/>
  <c r="L151" i="39"/>
  <c r="N151" i="39" s="1"/>
  <c r="M139" i="39"/>
  <c r="N139" i="39" s="1"/>
  <c r="L129" i="39"/>
  <c r="N129" i="39" s="1"/>
  <c r="L106" i="39"/>
  <c r="N106" i="39" s="1"/>
  <c r="L96" i="39"/>
  <c r="N96" i="39" s="1"/>
  <c r="L63" i="39"/>
  <c r="N63" i="39" s="1"/>
  <c r="L117" i="39"/>
  <c r="N117" i="39" s="1"/>
  <c r="L166" i="39"/>
  <c r="N166" i="39" s="1"/>
  <c r="L215" i="39"/>
  <c r="N215" i="39" s="1"/>
  <c r="N19" i="39"/>
  <c r="N29" i="39"/>
  <c r="N68" i="39"/>
  <c r="E200" i="39" l="1"/>
  <c r="D200" i="39"/>
  <c r="E199" i="39"/>
  <c r="D199" i="39"/>
  <c r="E180" i="39"/>
  <c r="D180" i="39"/>
  <c r="E179" i="39"/>
  <c r="D179" i="39"/>
  <c r="E160" i="39"/>
  <c r="D160" i="39"/>
  <c r="E159" i="39"/>
  <c r="D159" i="39"/>
  <c r="E140" i="39"/>
  <c r="D140" i="39"/>
  <c r="E123" i="39"/>
  <c r="D123" i="39"/>
  <c r="E107" i="39"/>
  <c r="D107" i="39"/>
  <c r="E91" i="39"/>
  <c r="D91" i="39"/>
  <c r="E90" i="39"/>
  <c r="D90" i="39"/>
  <c r="E71" i="39"/>
  <c r="D71" i="39"/>
  <c r="E53" i="39"/>
  <c r="D53" i="39"/>
  <c r="E52" i="39"/>
  <c r="D52" i="39"/>
  <c r="E33" i="39"/>
  <c r="D33" i="39"/>
  <c r="E32" i="39"/>
  <c r="D32" i="39"/>
  <c r="O32" i="39" l="1"/>
  <c r="O52" i="39"/>
  <c r="L52" i="39" s="1"/>
  <c r="O71" i="39"/>
  <c r="M71" i="39" s="1"/>
  <c r="O90" i="39"/>
  <c r="M90" i="39" s="1"/>
  <c r="O107" i="39"/>
  <c r="M107" i="39" s="1"/>
  <c r="O123" i="39"/>
  <c r="M123" i="39" s="1"/>
  <c r="O140" i="39"/>
  <c r="M140" i="39" s="1"/>
  <c r="O159" i="39"/>
  <c r="M159" i="39" s="1"/>
  <c r="O179" i="39"/>
  <c r="L179" i="39" s="1"/>
  <c r="O199" i="39"/>
  <c r="L199" i="39" s="1"/>
  <c r="O33" i="39"/>
  <c r="M33" i="39" s="1"/>
  <c r="O53" i="39"/>
  <c r="M53" i="39" s="1"/>
  <c r="O91" i="39"/>
  <c r="L91" i="39" s="1"/>
  <c r="O160" i="39"/>
  <c r="L160" i="39" s="1"/>
  <c r="O180" i="39"/>
  <c r="M180" i="39" s="1"/>
  <c r="O200" i="39"/>
  <c r="M200" i="39" s="1"/>
  <c r="M32" i="39"/>
  <c r="L32" i="39"/>
  <c r="M179" i="39" l="1"/>
  <c r="N179" i="39" s="1"/>
  <c r="L107" i="39"/>
  <c r="N107" i="39" s="1"/>
  <c r="M160" i="39"/>
  <c r="N160" i="39" s="1"/>
  <c r="L53" i="39"/>
  <c r="N53" i="39" s="1"/>
  <c r="M52" i="39"/>
  <c r="N52" i="39" s="1"/>
  <c r="L123" i="39"/>
  <c r="N123" i="39" s="1"/>
  <c r="L71" i="39"/>
  <c r="N71" i="39" s="1"/>
  <c r="L159" i="39"/>
  <c r="N159" i="39" s="1"/>
  <c r="L140" i="39"/>
  <c r="N140" i="39" s="1"/>
  <c r="L33" i="39"/>
  <c r="N33" i="39" s="1"/>
  <c r="L200" i="39"/>
  <c r="N200" i="39" s="1"/>
  <c r="L90" i="39"/>
  <c r="N90" i="39" s="1"/>
  <c r="M91" i="39"/>
  <c r="N91" i="39" s="1"/>
  <c r="M199" i="39"/>
  <c r="N199" i="39" s="1"/>
  <c r="L180" i="39"/>
  <c r="N180" i="39" s="1"/>
  <c r="N32" i="39"/>
  <c r="E22" i="70" l="1"/>
  <c r="D22" i="70"/>
  <c r="I22" i="70" l="1"/>
  <c r="H22" i="70" s="1"/>
  <c r="E18" i="70"/>
  <c r="D18" i="70"/>
  <c r="I18" i="70" s="1"/>
  <c r="H18" i="70" s="1"/>
  <c r="E25" i="70"/>
  <c r="D25" i="70"/>
  <c r="I25" i="70" s="1"/>
  <c r="H25" i="70" s="1"/>
  <c r="E24" i="70"/>
  <c r="D24" i="70"/>
  <c r="E23" i="70"/>
  <c r="D23" i="70"/>
  <c r="I23" i="70" l="1"/>
  <c r="H23" i="70" s="1"/>
  <c r="I24" i="70"/>
  <c r="H24" i="70" s="1"/>
  <c r="E198" i="39" l="1"/>
  <c r="D198" i="39"/>
  <c r="E197" i="39"/>
  <c r="D197" i="39"/>
  <c r="E178" i="39"/>
  <c r="D178" i="39"/>
  <c r="E177" i="39"/>
  <c r="D177" i="39"/>
  <c r="E158" i="39"/>
  <c r="D158" i="39"/>
  <c r="E157" i="39"/>
  <c r="D157" i="39"/>
  <c r="E89" i="39"/>
  <c r="D89" i="39"/>
  <c r="E88" i="39"/>
  <c r="D88" i="39"/>
  <c r="E70" i="39"/>
  <c r="D70" i="39"/>
  <c r="E69" i="39"/>
  <c r="D69" i="39"/>
  <c r="E51" i="39"/>
  <c r="D51" i="39"/>
  <c r="E50" i="39"/>
  <c r="D50" i="39"/>
  <c r="E31" i="39"/>
  <c r="D31" i="39"/>
  <c r="E30" i="39"/>
  <c r="D30" i="39"/>
  <c r="O30" i="39" l="1"/>
  <c r="L30" i="39" s="1"/>
  <c r="O50" i="39"/>
  <c r="L50" i="39" s="1"/>
  <c r="O69" i="39"/>
  <c r="L69" i="39" s="1"/>
  <c r="O88" i="39"/>
  <c r="M88" i="39" s="1"/>
  <c r="O157" i="39"/>
  <c r="M157" i="39" s="1"/>
  <c r="O177" i="39"/>
  <c r="M177" i="39" s="1"/>
  <c r="O197" i="39"/>
  <c r="L197" i="39" s="1"/>
  <c r="O31" i="39"/>
  <c r="L31" i="39" s="1"/>
  <c r="O51" i="39"/>
  <c r="L51" i="39" s="1"/>
  <c r="O70" i="39"/>
  <c r="M70" i="39" s="1"/>
  <c r="O89" i="39"/>
  <c r="L89" i="39" s="1"/>
  <c r="O158" i="39"/>
  <c r="L158" i="39" s="1"/>
  <c r="O178" i="39"/>
  <c r="L178" i="39" s="1"/>
  <c r="O198" i="39"/>
  <c r="L198" i="39" s="1"/>
  <c r="M197" i="39"/>
  <c r="L157" i="39" l="1"/>
  <c r="L177" i="39"/>
  <c r="N177" i="39" s="1"/>
  <c r="M158" i="39"/>
  <c r="N158" i="39" s="1"/>
  <c r="M89" i="39"/>
  <c r="N89" i="39" s="1"/>
  <c r="L70" i="39"/>
  <c r="N70" i="39" s="1"/>
  <c r="M51" i="39"/>
  <c r="N51" i="39" s="1"/>
  <c r="M31" i="39"/>
  <c r="N31" i="39" s="1"/>
  <c r="L88" i="39"/>
  <c r="N88" i="39" s="1"/>
  <c r="M69" i="39"/>
  <c r="N69" i="39" s="1"/>
  <c r="M50" i="39"/>
  <c r="N50" i="39" s="1"/>
  <c r="M30" i="39"/>
  <c r="N30" i="39" s="1"/>
  <c r="M178" i="39"/>
  <c r="N178" i="39" s="1"/>
  <c r="M198" i="39"/>
  <c r="N198" i="39" s="1"/>
  <c r="N157" i="39"/>
  <c r="N197" i="39"/>
  <c r="D37" i="71" l="1"/>
  <c r="C37" i="71"/>
  <c r="D36" i="71"/>
  <c r="C36" i="71"/>
  <c r="J36" i="71" l="1"/>
  <c r="I36" i="71" s="1"/>
  <c r="J37" i="71"/>
  <c r="I37" i="71" s="1"/>
  <c r="D39" i="71"/>
  <c r="C39" i="71"/>
  <c r="D35" i="71"/>
  <c r="C35" i="71"/>
  <c r="D34" i="71"/>
  <c r="C34" i="71"/>
  <c r="D33" i="71"/>
  <c r="C33" i="71"/>
  <c r="J33" i="71" s="1"/>
  <c r="I33" i="71" s="1"/>
  <c r="D32" i="71"/>
  <c r="C32" i="71"/>
  <c r="D30" i="71"/>
  <c r="C30" i="71"/>
  <c r="J30" i="71" s="1"/>
  <c r="I30" i="71" s="1"/>
  <c r="D29" i="71"/>
  <c r="C29" i="71"/>
  <c r="D28" i="71"/>
  <c r="C28" i="71"/>
  <c r="J28" i="71" s="1"/>
  <c r="I28" i="71" s="1"/>
  <c r="D27" i="71"/>
  <c r="C27" i="71"/>
  <c r="D26" i="71"/>
  <c r="C26" i="71"/>
  <c r="J26" i="71" s="1"/>
  <c r="I26" i="71" s="1"/>
  <c r="D25" i="71"/>
  <c r="C25" i="71"/>
  <c r="D24" i="71"/>
  <c r="C24" i="71"/>
  <c r="J24" i="71" s="1"/>
  <c r="I24" i="71" s="1"/>
  <c r="D23" i="71"/>
  <c r="C23" i="71"/>
  <c r="D22" i="71"/>
  <c r="C22" i="71"/>
  <c r="J22" i="71" s="1"/>
  <c r="I22" i="71" s="1"/>
  <c r="D21" i="71"/>
  <c r="C21" i="71"/>
  <c r="D20" i="71"/>
  <c r="C20" i="71"/>
  <c r="J20" i="71" s="1"/>
  <c r="I20" i="71" s="1"/>
  <c r="D19" i="71"/>
  <c r="C19" i="71"/>
  <c r="D18" i="71"/>
  <c r="C18" i="71"/>
  <c r="J18" i="71" s="1"/>
  <c r="I18" i="71" s="1"/>
  <c r="D17" i="71"/>
  <c r="C17" i="71"/>
  <c r="D16" i="71"/>
  <c r="C16" i="71"/>
  <c r="J16" i="71" s="1"/>
  <c r="I16" i="71" s="1"/>
  <c r="D15" i="71"/>
  <c r="C15" i="71"/>
  <c r="J17" i="71" l="1"/>
  <c r="I17" i="71" s="1"/>
  <c r="J19" i="71"/>
  <c r="I19" i="71" s="1"/>
  <c r="J21" i="71"/>
  <c r="I21" i="71" s="1"/>
  <c r="J23" i="71"/>
  <c r="I23" i="71" s="1"/>
  <c r="J25" i="71"/>
  <c r="I25" i="71" s="1"/>
  <c r="J39" i="71"/>
  <c r="I39" i="71" s="1"/>
  <c r="J35" i="71"/>
  <c r="I35" i="71" s="1"/>
  <c r="J32" i="71"/>
  <c r="I32" i="71" s="1"/>
  <c r="J34" i="71"/>
  <c r="I34" i="71" s="1"/>
  <c r="J27" i="71"/>
  <c r="I27" i="71" s="1"/>
  <c r="J29" i="71"/>
  <c r="I29" i="71" s="1"/>
  <c r="J15" i="71"/>
  <c r="I15" i="71" s="1"/>
  <c r="E21" i="70" l="1"/>
  <c r="D21" i="70"/>
  <c r="E20" i="70"/>
  <c r="D20" i="70"/>
  <c r="E19" i="70"/>
  <c r="D19" i="70"/>
  <c r="E17" i="70"/>
  <c r="D17" i="70"/>
  <c r="E16" i="70"/>
  <c r="D16" i="70"/>
  <c r="E15" i="70"/>
  <c r="D15" i="70"/>
  <c r="I15" i="70" l="1"/>
  <c r="H15" i="70" s="1"/>
  <c r="I19" i="70"/>
  <c r="H19" i="70" s="1"/>
  <c r="I21" i="70"/>
  <c r="H21" i="70" s="1"/>
  <c r="I16" i="70"/>
  <c r="H16" i="70" s="1"/>
  <c r="I17" i="70"/>
  <c r="H17" i="70" s="1"/>
  <c r="I20" i="70"/>
  <c r="H20" i="70" s="1"/>
  <c r="E20" i="26"/>
  <c r="D20" i="26"/>
  <c r="E19" i="26"/>
  <c r="D19" i="26"/>
  <c r="E18" i="26"/>
  <c r="D18" i="26"/>
  <c r="E17" i="26"/>
  <c r="D17" i="26"/>
  <c r="E16" i="26"/>
  <c r="D16" i="26"/>
  <c r="E15" i="26"/>
  <c r="D15" i="26"/>
  <c r="E217" i="39"/>
  <c r="D217" i="39"/>
  <c r="E216" i="39"/>
  <c r="D216" i="39"/>
  <c r="E214" i="39"/>
  <c r="D214" i="39"/>
  <c r="E212" i="39"/>
  <c r="D212" i="39"/>
  <c r="E211" i="39"/>
  <c r="D211" i="39"/>
  <c r="E209" i="39"/>
  <c r="D209" i="39"/>
  <c r="E207" i="39"/>
  <c r="D207" i="39"/>
  <c r="E206" i="39"/>
  <c r="D206" i="39"/>
  <c r="E204" i="39"/>
  <c r="D204" i="39"/>
  <c r="E202" i="39"/>
  <c r="D202" i="39"/>
  <c r="E201" i="39"/>
  <c r="D201" i="39"/>
  <c r="E195" i="39"/>
  <c r="D195" i="39"/>
  <c r="E194" i="39"/>
  <c r="D194" i="39"/>
  <c r="E193" i="39"/>
  <c r="D193" i="39"/>
  <c r="E192" i="39"/>
  <c r="D192" i="39"/>
  <c r="E190" i="39"/>
  <c r="D190" i="39"/>
  <c r="E189" i="39"/>
  <c r="D189" i="39"/>
  <c r="E188" i="39"/>
  <c r="D188" i="39"/>
  <c r="E187" i="39"/>
  <c r="D187" i="39"/>
  <c r="E185" i="39"/>
  <c r="D185" i="39"/>
  <c r="E184" i="39"/>
  <c r="D184" i="39"/>
  <c r="E183" i="39"/>
  <c r="D183" i="39"/>
  <c r="E182" i="39"/>
  <c r="D182" i="39"/>
  <c r="E181" i="39"/>
  <c r="D181" i="39"/>
  <c r="E175" i="39"/>
  <c r="D175" i="39"/>
  <c r="E174" i="39"/>
  <c r="D174" i="39"/>
  <c r="E173" i="39"/>
  <c r="D173" i="39"/>
  <c r="E172" i="39"/>
  <c r="D172" i="39"/>
  <c r="E170" i="39"/>
  <c r="D170" i="39"/>
  <c r="E169" i="39"/>
  <c r="D169" i="39"/>
  <c r="E168" i="39"/>
  <c r="D168" i="39"/>
  <c r="E167" i="39"/>
  <c r="D167" i="39"/>
  <c r="E165" i="39"/>
  <c r="D165" i="39"/>
  <c r="E164" i="39"/>
  <c r="D164" i="39"/>
  <c r="E163" i="39"/>
  <c r="D163" i="39"/>
  <c r="E162" i="39"/>
  <c r="D162" i="39"/>
  <c r="E161" i="39"/>
  <c r="D161" i="39"/>
  <c r="E155" i="39"/>
  <c r="D155" i="39"/>
  <c r="E154" i="39"/>
  <c r="D154" i="39"/>
  <c r="E153" i="39"/>
  <c r="D153" i="39"/>
  <c r="E152" i="39"/>
  <c r="D152" i="39"/>
  <c r="E150" i="39"/>
  <c r="D150" i="39"/>
  <c r="E149" i="39"/>
  <c r="D149" i="39"/>
  <c r="E148" i="39"/>
  <c r="D148" i="39"/>
  <c r="E147" i="39"/>
  <c r="D147" i="39"/>
  <c r="E145" i="39"/>
  <c r="D145" i="39"/>
  <c r="E144" i="39"/>
  <c r="D144" i="39"/>
  <c r="E143" i="39"/>
  <c r="D143" i="39"/>
  <c r="E142" i="39"/>
  <c r="D142" i="39"/>
  <c r="E141" i="39"/>
  <c r="D141" i="39"/>
  <c r="E138" i="39"/>
  <c r="D138" i="39"/>
  <c r="E136" i="39"/>
  <c r="D136" i="39"/>
  <c r="E135" i="39"/>
  <c r="D135" i="39"/>
  <c r="E133" i="39"/>
  <c r="D133" i="39"/>
  <c r="E131" i="39"/>
  <c r="D131" i="39"/>
  <c r="E130" i="39"/>
  <c r="D130" i="39"/>
  <c r="E128" i="39"/>
  <c r="D128" i="39"/>
  <c r="E126" i="39"/>
  <c r="D126" i="39"/>
  <c r="E125" i="39"/>
  <c r="D125" i="39"/>
  <c r="E124" i="39"/>
  <c r="D124" i="39"/>
  <c r="E121" i="39"/>
  <c r="D121" i="39"/>
  <c r="E119" i="39"/>
  <c r="D119" i="39"/>
  <c r="E118" i="39"/>
  <c r="D118" i="39"/>
  <c r="E116" i="39"/>
  <c r="D116" i="39"/>
  <c r="E114" i="39"/>
  <c r="D114" i="39"/>
  <c r="E113" i="39"/>
  <c r="D113" i="39"/>
  <c r="E111" i="39"/>
  <c r="D111" i="39"/>
  <c r="E109" i="39"/>
  <c r="D109" i="39"/>
  <c r="E108" i="39"/>
  <c r="D108" i="39"/>
  <c r="E105" i="39"/>
  <c r="D105" i="39"/>
  <c r="E103" i="39"/>
  <c r="D103" i="39"/>
  <c r="E102" i="39"/>
  <c r="D102" i="39"/>
  <c r="E100" i="39"/>
  <c r="D100" i="39"/>
  <c r="E98" i="39"/>
  <c r="D98" i="39"/>
  <c r="E97" i="39"/>
  <c r="D97" i="39"/>
  <c r="E95" i="39"/>
  <c r="D95" i="39"/>
  <c r="E93" i="39"/>
  <c r="D93" i="39"/>
  <c r="E92" i="39"/>
  <c r="D92" i="39"/>
  <c r="E86" i="39"/>
  <c r="D86" i="39"/>
  <c r="E85" i="39"/>
  <c r="D85" i="39"/>
  <c r="E84" i="39"/>
  <c r="D84" i="39"/>
  <c r="E83" i="39"/>
  <c r="D83" i="39"/>
  <c r="E81" i="39"/>
  <c r="D81" i="39"/>
  <c r="E80" i="39"/>
  <c r="D80" i="39"/>
  <c r="E79" i="39"/>
  <c r="D79" i="39"/>
  <c r="E78" i="39"/>
  <c r="D78" i="39"/>
  <c r="E76" i="39"/>
  <c r="D76" i="39"/>
  <c r="E75" i="39"/>
  <c r="D75" i="39"/>
  <c r="E74" i="39"/>
  <c r="D74" i="39"/>
  <c r="E73" i="39"/>
  <c r="D73" i="39"/>
  <c r="E72" i="39"/>
  <c r="D72" i="39"/>
  <c r="E67" i="39"/>
  <c r="D67" i="39"/>
  <c r="E66" i="39"/>
  <c r="D66" i="39"/>
  <c r="E65" i="39"/>
  <c r="D65" i="39"/>
  <c r="E64" i="39"/>
  <c r="D64" i="39"/>
  <c r="E62" i="39"/>
  <c r="D62" i="39"/>
  <c r="E61" i="39"/>
  <c r="D61" i="39"/>
  <c r="E60" i="39"/>
  <c r="D60" i="39"/>
  <c r="E59" i="39"/>
  <c r="D59" i="39"/>
  <c r="E57" i="39"/>
  <c r="D57" i="39"/>
  <c r="E56" i="39"/>
  <c r="D56" i="39"/>
  <c r="E55" i="39"/>
  <c r="D55" i="39"/>
  <c r="E54" i="39"/>
  <c r="D54" i="39"/>
  <c r="E48" i="39"/>
  <c r="D48" i="39"/>
  <c r="E47" i="39"/>
  <c r="D47" i="39"/>
  <c r="E46" i="39"/>
  <c r="D46" i="39"/>
  <c r="E45" i="39"/>
  <c r="D45" i="39"/>
  <c r="E218" i="39"/>
  <c r="D218" i="39"/>
  <c r="E43" i="39"/>
  <c r="D43" i="39"/>
  <c r="E42" i="39"/>
  <c r="D42" i="39"/>
  <c r="E41" i="39"/>
  <c r="D41" i="39"/>
  <c r="E40" i="39"/>
  <c r="D40" i="39"/>
  <c r="E38" i="39"/>
  <c r="D38" i="39"/>
  <c r="E37" i="39"/>
  <c r="D37" i="39"/>
  <c r="E36" i="39"/>
  <c r="D36" i="39"/>
  <c r="E35" i="39"/>
  <c r="D35" i="39"/>
  <c r="E34" i="39"/>
  <c r="D34" i="39"/>
  <c r="E28" i="39"/>
  <c r="D28" i="39"/>
  <c r="E27" i="39"/>
  <c r="D27" i="39"/>
  <c r="E26" i="39"/>
  <c r="D26" i="39"/>
  <c r="E25" i="39"/>
  <c r="D25" i="39"/>
  <c r="E23" i="39"/>
  <c r="D23" i="39"/>
  <c r="E22" i="39"/>
  <c r="D22" i="39"/>
  <c r="E21" i="39"/>
  <c r="D21" i="39"/>
  <c r="E20" i="39"/>
  <c r="D20" i="39"/>
  <c r="E18" i="39"/>
  <c r="D18" i="39"/>
  <c r="E17" i="39"/>
  <c r="D17" i="39"/>
  <c r="E16" i="39"/>
  <c r="D16" i="39"/>
  <c r="E15" i="39"/>
  <c r="D15" i="39"/>
  <c r="E71" i="40"/>
  <c r="D71" i="40"/>
  <c r="E70" i="40"/>
  <c r="D70" i="40"/>
  <c r="T70" i="40" s="1"/>
  <c r="E66" i="40"/>
  <c r="D66" i="40"/>
  <c r="E65" i="40"/>
  <c r="D65" i="40"/>
  <c r="T65" i="40" s="1"/>
  <c r="E64" i="40"/>
  <c r="D64" i="40"/>
  <c r="E63" i="40"/>
  <c r="D63" i="40"/>
  <c r="T63" i="40" s="1"/>
  <c r="E62" i="40"/>
  <c r="D62" i="40"/>
  <c r="E61" i="40"/>
  <c r="D61" i="40"/>
  <c r="T61" i="40" s="1"/>
  <c r="E60" i="40"/>
  <c r="D60" i="40"/>
  <c r="E59" i="40"/>
  <c r="D59" i="40"/>
  <c r="T59" i="40" s="1"/>
  <c r="E58" i="40"/>
  <c r="D58" i="40"/>
  <c r="E57" i="40"/>
  <c r="D57" i="40"/>
  <c r="T57" i="40" s="1"/>
  <c r="E56" i="40"/>
  <c r="D56" i="40"/>
  <c r="E55" i="40"/>
  <c r="D55" i="40"/>
  <c r="T55" i="40" s="1"/>
  <c r="E54" i="40"/>
  <c r="D54" i="40"/>
  <c r="E53" i="40"/>
  <c r="D53" i="40"/>
  <c r="T53" i="40" s="1"/>
  <c r="E52" i="40"/>
  <c r="D52" i="40"/>
  <c r="E51" i="40"/>
  <c r="D51" i="40"/>
  <c r="T51" i="40" s="1"/>
  <c r="E50" i="40"/>
  <c r="D50" i="40"/>
  <c r="E49" i="40"/>
  <c r="D49" i="40"/>
  <c r="T49" i="40" s="1"/>
  <c r="E48" i="40"/>
  <c r="D48" i="40"/>
  <c r="E47" i="40"/>
  <c r="D47" i="40"/>
  <c r="T47" i="40" s="1"/>
  <c r="E46" i="40"/>
  <c r="D46" i="40"/>
  <c r="E45" i="40"/>
  <c r="D45" i="40"/>
  <c r="T45" i="40" s="1"/>
  <c r="E44" i="40"/>
  <c r="D44" i="40"/>
  <c r="E43" i="40"/>
  <c r="D43" i="40"/>
  <c r="T43" i="40" s="1"/>
  <c r="E42" i="40"/>
  <c r="D42" i="40"/>
  <c r="E41" i="40"/>
  <c r="D41" i="40"/>
  <c r="T41" i="40" s="1"/>
  <c r="E40" i="40"/>
  <c r="D40" i="40"/>
  <c r="E39" i="40"/>
  <c r="D39" i="40"/>
  <c r="T39" i="40" s="1"/>
  <c r="E29" i="40"/>
  <c r="D29" i="40"/>
  <c r="E28" i="40"/>
  <c r="D28" i="40"/>
  <c r="T28" i="40" s="1"/>
  <c r="E27" i="40"/>
  <c r="D27" i="40"/>
  <c r="E26" i="40"/>
  <c r="D26" i="40"/>
  <c r="T26" i="40" s="1"/>
  <c r="E25" i="40"/>
  <c r="D25" i="40"/>
  <c r="E24" i="40"/>
  <c r="D24" i="40"/>
  <c r="T24" i="40" s="1"/>
  <c r="E23" i="40"/>
  <c r="D23" i="40"/>
  <c r="E22" i="40"/>
  <c r="D22" i="40"/>
  <c r="T22" i="40" s="1"/>
  <c r="E72" i="40"/>
  <c r="D72" i="40"/>
  <c r="E69" i="40"/>
  <c r="D69" i="40"/>
  <c r="T69" i="40" s="1"/>
  <c r="E68" i="40"/>
  <c r="D68" i="40"/>
  <c r="E67" i="40"/>
  <c r="D67" i="40"/>
  <c r="T67" i="40" s="1"/>
  <c r="E38" i="40"/>
  <c r="D38" i="40"/>
  <c r="E37" i="40"/>
  <c r="D37" i="40"/>
  <c r="T37" i="40" s="1"/>
  <c r="E36" i="40"/>
  <c r="D36" i="40"/>
  <c r="E35" i="40"/>
  <c r="D35" i="40"/>
  <c r="T35" i="40" s="1"/>
  <c r="E34" i="40"/>
  <c r="D34" i="40"/>
  <c r="E33" i="40"/>
  <c r="D33" i="40"/>
  <c r="T33" i="40" s="1"/>
  <c r="E32" i="40"/>
  <c r="D32" i="40"/>
  <c r="E31" i="40"/>
  <c r="D31" i="40"/>
  <c r="T31" i="40" s="1"/>
  <c r="E30" i="40"/>
  <c r="D30" i="40"/>
  <c r="E21" i="40"/>
  <c r="D21" i="40"/>
  <c r="T21" i="40" s="1"/>
  <c r="E20" i="40"/>
  <c r="D20" i="40"/>
  <c r="E19" i="40"/>
  <c r="D19" i="40"/>
  <c r="T19" i="40" s="1"/>
  <c r="E18" i="40"/>
  <c r="D18" i="40"/>
  <c r="E17" i="40"/>
  <c r="D17" i="40"/>
  <c r="T17" i="40" s="1"/>
  <c r="E16" i="40"/>
  <c r="D16" i="40"/>
  <c r="E15" i="40"/>
  <c r="D15" i="40"/>
  <c r="T15" i="40" s="1"/>
  <c r="O15" i="39" l="1"/>
  <c r="O17" i="39"/>
  <c r="M17" i="39" s="1"/>
  <c r="O20" i="39"/>
  <c r="L20" i="39" s="1"/>
  <c r="O21" i="39"/>
  <c r="M21" i="39" s="1"/>
  <c r="O23" i="39"/>
  <c r="O27" i="39"/>
  <c r="M27" i="39" s="1"/>
  <c r="O34" i="39"/>
  <c r="L34" i="39" s="1"/>
  <c r="O36" i="39"/>
  <c r="M36" i="39" s="1"/>
  <c r="O38" i="39"/>
  <c r="M38" i="39" s="1"/>
  <c r="O42" i="39"/>
  <c r="M42" i="39" s="1"/>
  <c r="O48" i="39"/>
  <c r="L48" i="39" s="1"/>
  <c r="O56" i="39"/>
  <c r="L56" i="39" s="1"/>
  <c r="O59" i="39"/>
  <c r="M59" i="39" s="1"/>
  <c r="O60" i="39"/>
  <c r="M60" i="39" s="1"/>
  <c r="O62" i="39"/>
  <c r="L62" i="39" s="1"/>
  <c r="O66" i="39"/>
  <c r="M66" i="39" s="1"/>
  <c r="O72" i="39"/>
  <c r="L72" i="39" s="1"/>
  <c r="O74" i="39"/>
  <c r="L74" i="39" s="1"/>
  <c r="O76" i="39"/>
  <c r="M76" i="39" s="1"/>
  <c r="I16" i="26"/>
  <c r="H16" i="26" s="1"/>
  <c r="I17" i="26"/>
  <c r="H17" i="26" s="1"/>
  <c r="I19" i="26"/>
  <c r="H19" i="26" s="1"/>
  <c r="O80" i="39"/>
  <c r="M80" i="39" s="1"/>
  <c r="O83" i="39"/>
  <c r="M83" i="39" s="1"/>
  <c r="O84" i="39"/>
  <c r="L84" i="39" s="1"/>
  <c r="O86" i="39"/>
  <c r="L86" i="39" s="1"/>
  <c r="O93" i="39"/>
  <c r="M93" i="39" s="1"/>
  <c r="O97" i="39"/>
  <c r="L97" i="39" s="1"/>
  <c r="O100" i="39"/>
  <c r="L100" i="39" s="1"/>
  <c r="O105" i="39"/>
  <c r="M105" i="39" s="1"/>
  <c r="O109" i="39"/>
  <c r="M109" i="39" s="1"/>
  <c r="O118" i="39"/>
  <c r="L118" i="39" s="1"/>
  <c r="O131" i="39"/>
  <c r="L131" i="39" s="1"/>
  <c r="O142" i="39"/>
  <c r="L142" i="39" s="1"/>
  <c r="O144" i="39"/>
  <c r="M144" i="39" s="1"/>
  <c r="O147" i="39"/>
  <c r="M147" i="39" s="1"/>
  <c r="O161" i="39"/>
  <c r="L161" i="39" s="1"/>
  <c r="O165" i="39"/>
  <c r="L165" i="39" s="1"/>
  <c r="O169" i="39"/>
  <c r="M169" i="39" s="1"/>
  <c r="O172" i="39"/>
  <c r="M172" i="39" s="1"/>
  <c r="O173" i="39"/>
  <c r="M173" i="39" s="1"/>
  <c r="O175" i="39"/>
  <c r="M175" i="39" s="1"/>
  <c r="O182" i="39"/>
  <c r="M182" i="39" s="1"/>
  <c r="O184" i="39"/>
  <c r="L184" i="39" s="1"/>
  <c r="O187" i="39"/>
  <c r="L187" i="39" s="1"/>
  <c r="O188" i="39"/>
  <c r="M188" i="39" s="1"/>
  <c r="O190" i="39"/>
  <c r="L190" i="39" s="1"/>
  <c r="O194" i="39"/>
  <c r="M194" i="39" s="1"/>
  <c r="O201" i="39"/>
  <c r="M201" i="39" s="1"/>
  <c r="O202" i="39"/>
  <c r="L202" i="39" s="1"/>
  <c r="O206" i="39"/>
  <c r="M206" i="39" s="1"/>
  <c r="O207" i="39"/>
  <c r="L207" i="39" s="1"/>
  <c r="O211" i="39"/>
  <c r="L211" i="39" s="1"/>
  <c r="O212" i="39"/>
  <c r="M212" i="39" s="1"/>
  <c r="O216" i="39"/>
  <c r="M216" i="39" s="1"/>
  <c r="T18" i="40"/>
  <c r="T20" i="40"/>
  <c r="P20" i="40" s="1"/>
  <c r="Q20" i="40" s="1"/>
  <c r="T30" i="40"/>
  <c r="R30" i="40" s="1"/>
  <c r="T32" i="40"/>
  <c r="R32" i="40" s="1"/>
  <c r="T34" i="40"/>
  <c r="T36" i="40"/>
  <c r="J36" i="40" s="1"/>
  <c r="K36" i="40" s="1"/>
  <c r="T38" i="40"/>
  <c r="P38" i="40" s="1"/>
  <c r="Q38" i="40" s="1"/>
  <c r="T68" i="40"/>
  <c r="P68" i="40" s="1"/>
  <c r="Q68" i="40" s="1"/>
  <c r="T72" i="40"/>
  <c r="T23" i="40"/>
  <c r="M23" i="40" s="1"/>
  <c r="N23" i="40" s="1"/>
  <c r="T25" i="40"/>
  <c r="P25" i="40" s="1"/>
  <c r="Q25" i="40" s="1"/>
  <c r="T27" i="40"/>
  <c r="M27" i="40" s="1"/>
  <c r="N27" i="40" s="1"/>
  <c r="T29" i="40"/>
  <c r="P29" i="40" s="1"/>
  <c r="Q29" i="40" s="1"/>
  <c r="T40" i="40"/>
  <c r="R40" i="40" s="1"/>
  <c r="T42" i="40"/>
  <c r="T44" i="40"/>
  <c r="J44" i="40" s="1"/>
  <c r="K44" i="40" s="1"/>
  <c r="T46" i="40"/>
  <c r="T48" i="40"/>
  <c r="R48" i="40" s="1"/>
  <c r="T50" i="40"/>
  <c r="P50" i="40" s="1"/>
  <c r="Q50" i="40" s="1"/>
  <c r="T52" i="40"/>
  <c r="R52" i="40" s="1"/>
  <c r="T54" i="40"/>
  <c r="P54" i="40" s="1"/>
  <c r="Q54" i="40" s="1"/>
  <c r="T56" i="40"/>
  <c r="R56" i="40" s="1"/>
  <c r="T58" i="40"/>
  <c r="R58" i="40" s="1"/>
  <c r="T60" i="40"/>
  <c r="P60" i="40" s="1"/>
  <c r="Q60" i="40" s="1"/>
  <c r="T62" i="40"/>
  <c r="P62" i="40" s="1"/>
  <c r="Q62" i="40" s="1"/>
  <c r="T64" i="40"/>
  <c r="R64" i="40" s="1"/>
  <c r="T66" i="40"/>
  <c r="T71" i="40"/>
  <c r="S71" i="40" s="1"/>
  <c r="O16" i="39"/>
  <c r="M16" i="39" s="1"/>
  <c r="O18" i="39"/>
  <c r="L18" i="39" s="1"/>
  <c r="O22" i="39"/>
  <c r="L22" i="39" s="1"/>
  <c r="O26" i="39"/>
  <c r="M26" i="39" s="1"/>
  <c r="O28" i="39"/>
  <c r="M28" i="39" s="1"/>
  <c r="O35" i="39"/>
  <c r="M35" i="39" s="1"/>
  <c r="O37" i="39"/>
  <c r="L37" i="39" s="1"/>
  <c r="O40" i="39"/>
  <c r="M40" i="39" s="1"/>
  <c r="O41" i="39"/>
  <c r="L41" i="39" s="1"/>
  <c r="O43" i="39"/>
  <c r="L43" i="39" s="1"/>
  <c r="O47" i="39"/>
  <c r="L47" i="39" s="1"/>
  <c r="O54" i="39"/>
  <c r="M54" i="39" s="1"/>
  <c r="O55" i="39"/>
  <c r="M55" i="39" s="1"/>
  <c r="O61" i="39"/>
  <c r="M61" i="39" s="1"/>
  <c r="O65" i="39"/>
  <c r="L65" i="39" s="1"/>
  <c r="O67" i="39"/>
  <c r="M67" i="39" s="1"/>
  <c r="O73" i="39"/>
  <c r="M73" i="39" s="1"/>
  <c r="O75" i="39"/>
  <c r="L75" i="39" s="1"/>
  <c r="O78" i="39"/>
  <c r="L78" i="39" s="1"/>
  <c r="O79" i="39"/>
  <c r="M79" i="39" s="1"/>
  <c r="O81" i="39"/>
  <c r="L81" i="39" s="1"/>
  <c r="O85" i="39"/>
  <c r="M85" i="39" s="1"/>
  <c r="O92" i="39"/>
  <c r="M92" i="39" s="1"/>
  <c r="O95" i="39"/>
  <c r="M95" i="39" s="1"/>
  <c r="O98" i="39"/>
  <c r="L98" i="39" s="1"/>
  <c r="O102" i="39"/>
  <c r="M102" i="39" s="1"/>
  <c r="O103" i="39"/>
  <c r="M103" i="39" s="1"/>
  <c r="O108" i="39"/>
  <c r="M108" i="39" s="1"/>
  <c r="O111" i="39"/>
  <c r="L111" i="39" s="1"/>
  <c r="O116" i="39"/>
  <c r="M116" i="39" s="1"/>
  <c r="O119" i="39"/>
  <c r="M119" i="39" s="1"/>
  <c r="O124" i="39"/>
  <c r="L124" i="39" s="1"/>
  <c r="O126" i="39"/>
  <c r="M126" i="39" s="1"/>
  <c r="O130" i="39"/>
  <c r="M130" i="39" s="1"/>
  <c r="O133" i="39"/>
  <c r="L133" i="39" s="1"/>
  <c r="O136" i="39"/>
  <c r="M136" i="39" s="1"/>
  <c r="O141" i="39"/>
  <c r="L141" i="39" s="1"/>
  <c r="O143" i="39"/>
  <c r="M143" i="39" s="1"/>
  <c r="O145" i="39"/>
  <c r="L145" i="39" s="1"/>
  <c r="O152" i="39"/>
  <c r="L152" i="39" s="1"/>
  <c r="O153" i="39"/>
  <c r="L153" i="39" s="1"/>
  <c r="O155" i="39"/>
  <c r="M155" i="39" s="1"/>
  <c r="O162" i="39"/>
  <c r="M162" i="39" s="1"/>
  <c r="O164" i="39"/>
  <c r="L164" i="39" s="1"/>
  <c r="O167" i="39"/>
  <c r="L167" i="39" s="1"/>
  <c r="O168" i="39"/>
  <c r="M168" i="39" s="1"/>
  <c r="O170" i="39"/>
  <c r="L170" i="39" s="1"/>
  <c r="O174" i="39"/>
  <c r="L174" i="39" s="1"/>
  <c r="O181" i="39"/>
  <c r="M181" i="39" s="1"/>
  <c r="O183" i="39"/>
  <c r="L183" i="39" s="1"/>
  <c r="O189" i="39"/>
  <c r="L189" i="39" s="1"/>
  <c r="O192" i="39"/>
  <c r="M192" i="39" s="1"/>
  <c r="O193" i="39"/>
  <c r="L193" i="39" s="1"/>
  <c r="O195" i="39"/>
  <c r="M195" i="39" s="1"/>
  <c r="O204" i="39"/>
  <c r="M204" i="39" s="1"/>
  <c r="O209" i="39"/>
  <c r="M209" i="39" s="1"/>
  <c r="O214" i="39"/>
  <c r="M214" i="39" s="1"/>
  <c r="O217" i="39"/>
  <c r="M217" i="39" s="1"/>
  <c r="I20" i="26"/>
  <c r="H20" i="26" s="1"/>
  <c r="I15" i="26"/>
  <c r="H15" i="26" s="1"/>
  <c r="I18" i="26"/>
  <c r="H18" i="26" s="1"/>
  <c r="O185" i="39"/>
  <c r="M185" i="39" s="1"/>
  <c r="O163" i="39"/>
  <c r="M163" i="39" s="1"/>
  <c r="O154" i="39"/>
  <c r="M154" i="39" s="1"/>
  <c r="O148" i="39"/>
  <c r="L148" i="39" s="1"/>
  <c r="O150" i="39"/>
  <c r="M150" i="39" s="1"/>
  <c r="O149" i="39"/>
  <c r="M149" i="39" s="1"/>
  <c r="O138" i="39"/>
  <c r="M138" i="39" s="1"/>
  <c r="O135" i="39"/>
  <c r="M135" i="39" s="1"/>
  <c r="O128" i="39"/>
  <c r="L128" i="39" s="1"/>
  <c r="O121" i="39"/>
  <c r="M121" i="39" s="1"/>
  <c r="O125" i="39"/>
  <c r="M125" i="39" s="1"/>
  <c r="O113" i="39"/>
  <c r="M113" i="39" s="1"/>
  <c r="O114" i="39"/>
  <c r="M114" i="39" s="1"/>
  <c r="O64" i="39"/>
  <c r="M64" i="39" s="1"/>
  <c r="O57" i="39"/>
  <c r="M57" i="39" s="1"/>
  <c r="O45" i="39"/>
  <c r="M45" i="39" s="1"/>
  <c r="O46" i="39"/>
  <c r="M46" i="39" s="1"/>
  <c r="O218" i="39"/>
  <c r="L218" i="39" s="1"/>
  <c r="O25" i="39"/>
  <c r="L25" i="39" s="1"/>
  <c r="M23" i="39"/>
  <c r="L23" i="39"/>
  <c r="M15" i="39"/>
  <c r="L15" i="39"/>
  <c r="P70" i="40"/>
  <c r="J70" i="40"/>
  <c r="S70" i="40"/>
  <c r="N70" i="40"/>
  <c r="H70" i="40"/>
  <c r="R70" i="40"/>
  <c r="M70" i="40"/>
  <c r="G70" i="40"/>
  <c r="Q70" i="40"/>
  <c r="K70" i="40"/>
  <c r="P66" i="40"/>
  <c r="Q66" i="40" s="1"/>
  <c r="J66" i="40"/>
  <c r="K66" i="40" s="1"/>
  <c r="R66" i="40"/>
  <c r="M66" i="40"/>
  <c r="N66" i="40" s="1"/>
  <c r="G66" i="40"/>
  <c r="H66" i="40" s="1"/>
  <c r="P65" i="40"/>
  <c r="Q65" i="40" s="1"/>
  <c r="J65" i="40"/>
  <c r="K65" i="40" s="1"/>
  <c r="R65" i="40"/>
  <c r="M65" i="40"/>
  <c r="N65" i="40" s="1"/>
  <c r="G65" i="40"/>
  <c r="H65" i="40" s="1"/>
  <c r="M64" i="40"/>
  <c r="N64" i="40" s="1"/>
  <c r="P63" i="40"/>
  <c r="Q63" i="40" s="1"/>
  <c r="J63" i="40"/>
  <c r="K63" i="40" s="1"/>
  <c r="R63" i="40"/>
  <c r="M63" i="40"/>
  <c r="N63" i="40" s="1"/>
  <c r="G63" i="40"/>
  <c r="H63" i="40" s="1"/>
  <c r="J62" i="40"/>
  <c r="K62" i="40" s="1"/>
  <c r="M62" i="40"/>
  <c r="N62" i="40" s="1"/>
  <c r="P61" i="40"/>
  <c r="Q61" i="40" s="1"/>
  <c r="J61" i="40"/>
  <c r="K61" i="40" s="1"/>
  <c r="R61" i="40"/>
  <c r="M61" i="40"/>
  <c r="N61" i="40" s="1"/>
  <c r="G61" i="40"/>
  <c r="H61" i="40" s="1"/>
  <c r="P59" i="40"/>
  <c r="Q59" i="40" s="1"/>
  <c r="J59" i="40"/>
  <c r="K59" i="40" s="1"/>
  <c r="R59" i="40"/>
  <c r="M59" i="40"/>
  <c r="N59" i="40" s="1"/>
  <c r="G59" i="40"/>
  <c r="H59" i="40" s="1"/>
  <c r="P57" i="40"/>
  <c r="Q57" i="40" s="1"/>
  <c r="J57" i="40"/>
  <c r="K57" i="40" s="1"/>
  <c r="R57" i="40"/>
  <c r="M57" i="40"/>
  <c r="N57" i="40" s="1"/>
  <c r="G57" i="40"/>
  <c r="H57" i="40" s="1"/>
  <c r="P55" i="40"/>
  <c r="Q55" i="40" s="1"/>
  <c r="J55" i="40"/>
  <c r="K55" i="40" s="1"/>
  <c r="R55" i="40"/>
  <c r="M55" i="40"/>
  <c r="N55" i="40" s="1"/>
  <c r="G55" i="40"/>
  <c r="H55" i="40" s="1"/>
  <c r="J54" i="40"/>
  <c r="K54" i="40" s="1"/>
  <c r="R54" i="40"/>
  <c r="M54" i="40"/>
  <c r="N54" i="40" s="1"/>
  <c r="P53" i="40"/>
  <c r="Q53" i="40" s="1"/>
  <c r="J53" i="40"/>
  <c r="K53" i="40" s="1"/>
  <c r="R53" i="40"/>
  <c r="M53" i="40"/>
  <c r="N53" i="40" s="1"/>
  <c r="G53" i="40"/>
  <c r="H53" i="40" s="1"/>
  <c r="P51" i="40"/>
  <c r="Q51" i="40" s="1"/>
  <c r="J51" i="40"/>
  <c r="K51" i="40" s="1"/>
  <c r="R51" i="40"/>
  <c r="M51" i="40"/>
  <c r="N51" i="40" s="1"/>
  <c r="G51" i="40"/>
  <c r="H51" i="40" s="1"/>
  <c r="R50" i="40"/>
  <c r="M50" i="40"/>
  <c r="N50" i="40" s="1"/>
  <c r="R49" i="40"/>
  <c r="M49" i="40"/>
  <c r="N49" i="40" s="1"/>
  <c r="G49" i="40"/>
  <c r="H49" i="40" s="1"/>
  <c r="P49" i="40"/>
  <c r="Q49" i="40" s="1"/>
  <c r="J49" i="40"/>
  <c r="K49" i="40" s="1"/>
  <c r="P47" i="40"/>
  <c r="Q47" i="40" s="1"/>
  <c r="J47" i="40"/>
  <c r="K47" i="40" s="1"/>
  <c r="R47" i="40"/>
  <c r="M47" i="40"/>
  <c r="N47" i="40" s="1"/>
  <c r="G47" i="40"/>
  <c r="H47" i="40" s="1"/>
  <c r="P46" i="40"/>
  <c r="Q46" i="40" s="1"/>
  <c r="J46" i="40"/>
  <c r="K46" i="40" s="1"/>
  <c r="R46" i="40"/>
  <c r="M46" i="40"/>
  <c r="N46" i="40" s="1"/>
  <c r="G46" i="40"/>
  <c r="H46" i="40" s="1"/>
  <c r="P45" i="40"/>
  <c r="Q45" i="40" s="1"/>
  <c r="J45" i="40"/>
  <c r="K45" i="40" s="1"/>
  <c r="R45" i="40"/>
  <c r="M45" i="40"/>
  <c r="N45" i="40" s="1"/>
  <c r="G45" i="40"/>
  <c r="H45" i="40" s="1"/>
  <c r="P43" i="40"/>
  <c r="Q43" i="40" s="1"/>
  <c r="J43" i="40"/>
  <c r="K43" i="40" s="1"/>
  <c r="R43" i="40"/>
  <c r="M43" i="40"/>
  <c r="N43" i="40" s="1"/>
  <c r="G43" i="40"/>
  <c r="H43" i="40" s="1"/>
  <c r="P42" i="40"/>
  <c r="Q42" i="40" s="1"/>
  <c r="J42" i="40"/>
  <c r="K42" i="40" s="1"/>
  <c r="R42" i="40"/>
  <c r="M42" i="40"/>
  <c r="N42" i="40" s="1"/>
  <c r="G42" i="40"/>
  <c r="H42" i="40" s="1"/>
  <c r="P41" i="40"/>
  <c r="Q41" i="40" s="1"/>
  <c r="J41" i="40"/>
  <c r="K41" i="40" s="1"/>
  <c r="R41" i="40"/>
  <c r="M41" i="40"/>
  <c r="N41" i="40" s="1"/>
  <c r="G41" i="40"/>
  <c r="H41" i="40" s="1"/>
  <c r="P40" i="40"/>
  <c r="Q40" i="40" s="1"/>
  <c r="J40" i="40"/>
  <c r="K40" i="40" s="1"/>
  <c r="M40" i="40"/>
  <c r="N40" i="40" s="1"/>
  <c r="G40" i="40"/>
  <c r="H40" i="40" s="1"/>
  <c r="P39" i="40"/>
  <c r="Q39" i="40" s="1"/>
  <c r="J39" i="40"/>
  <c r="K39" i="40" s="1"/>
  <c r="R39" i="40"/>
  <c r="M39" i="40"/>
  <c r="N39" i="40" s="1"/>
  <c r="G39" i="40"/>
  <c r="H39" i="40" s="1"/>
  <c r="P28" i="40"/>
  <c r="Q28" i="40" s="1"/>
  <c r="J28" i="40"/>
  <c r="K28" i="40" s="1"/>
  <c r="R28" i="40"/>
  <c r="M28" i="40"/>
  <c r="N28" i="40" s="1"/>
  <c r="G28" i="40"/>
  <c r="H28" i="40" s="1"/>
  <c r="P26" i="40"/>
  <c r="Q26" i="40" s="1"/>
  <c r="J26" i="40"/>
  <c r="K26" i="40" s="1"/>
  <c r="R26" i="40"/>
  <c r="M26" i="40"/>
  <c r="N26" i="40" s="1"/>
  <c r="G26" i="40"/>
  <c r="H26" i="40" s="1"/>
  <c r="P24" i="40"/>
  <c r="Q24" i="40" s="1"/>
  <c r="J24" i="40"/>
  <c r="K24" i="40" s="1"/>
  <c r="R24" i="40"/>
  <c r="M24" i="40"/>
  <c r="N24" i="40" s="1"/>
  <c r="G24" i="40"/>
  <c r="H24" i="40" s="1"/>
  <c r="P23" i="40"/>
  <c r="Q23" i="40" s="1"/>
  <c r="J23" i="40"/>
  <c r="K23" i="40" s="1"/>
  <c r="R23" i="40"/>
  <c r="G23" i="40"/>
  <c r="H23" i="40" s="1"/>
  <c r="P22" i="40"/>
  <c r="Q22" i="40" s="1"/>
  <c r="J22" i="40"/>
  <c r="K22" i="40" s="1"/>
  <c r="R22" i="40"/>
  <c r="M22" i="40"/>
  <c r="N22" i="40" s="1"/>
  <c r="G22" i="40"/>
  <c r="H22" i="40" s="1"/>
  <c r="P72" i="40"/>
  <c r="J72" i="40"/>
  <c r="S72" i="40"/>
  <c r="N72" i="40"/>
  <c r="H72" i="40"/>
  <c r="R72" i="40"/>
  <c r="M72" i="40"/>
  <c r="G72" i="40"/>
  <c r="Q72" i="40"/>
  <c r="K72" i="40"/>
  <c r="S69" i="40"/>
  <c r="N69" i="40"/>
  <c r="H69" i="40"/>
  <c r="R69" i="40"/>
  <c r="M69" i="40"/>
  <c r="G69" i="40"/>
  <c r="Q69" i="40"/>
  <c r="K69" i="40"/>
  <c r="P69" i="40"/>
  <c r="J69" i="40"/>
  <c r="P67" i="40"/>
  <c r="Q67" i="40" s="1"/>
  <c r="J67" i="40"/>
  <c r="K67" i="40" s="1"/>
  <c r="R67" i="40"/>
  <c r="M67" i="40"/>
  <c r="N67" i="40" s="1"/>
  <c r="G67" i="40"/>
  <c r="H67" i="40" s="1"/>
  <c r="P37" i="40"/>
  <c r="Q37" i="40" s="1"/>
  <c r="J37" i="40"/>
  <c r="K37" i="40" s="1"/>
  <c r="R37" i="40"/>
  <c r="M37" i="40"/>
  <c r="N37" i="40" s="1"/>
  <c r="G37" i="40"/>
  <c r="H37" i="40" s="1"/>
  <c r="P36" i="40"/>
  <c r="Q36" i="40" s="1"/>
  <c r="R36" i="40"/>
  <c r="M36" i="40"/>
  <c r="N36" i="40" s="1"/>
  <c r="G36" i="40"/>
  <c r="H36" i="40" s="1"/>
  <c r="P35" i="40"/>
  <c r="Q35" i="40" s="1"/>
  <c r="J35" i="40"/>
  <c r="K35" i="40" s="1"/>
  <c r="R35" i="40"/>
  <c r="M35" i="40"/>
  <c r="N35" i="40" s="1"/>
  <c r="G35" i="40"/>
  <c r="H35" i="40" s="1"/>
  <c r="P34" i="40"/>
  <c r="Q34" i="40" s="1"/>
  <c r="J34" i="40"/>
  <c r="K34" i="40" s="1"/>
  <c r="R34" i="40"/>
  <c r="M34" i="40"/>
  <c r="N34" i="40" s="1"/>
  <c r="G34" i="40"/>
  <c r="H34" i="40" s="1"/>
  <c r="P33" i="40"/>
  <c r="Q33" i="40" s="1"/>
  <c r="J33" i="40"/>
  <c r="K33" i="40" s="1"/>
  <c r="R33" i="40"/>
  <c r="M33" i="40"/>
  <c r="N33" i="40" s="1"/>
  <c r="G33" i="40"/>
  <c r="H33" i="40" s="1"/>
  <c r="R31" i="40"/>
  <c r="M31" i="40"/>
  <c r="N31" i="40" s="1"/>
  <c r="G31" i="40"/>
  <c r="H31" i="40" s="1"/>
  <c r="P31" i="40"/>
  <c r="Q31" i="40" s="1"/>
  <c r="J31" i="40"/>
  <c r="K31" i="40" s="1"/>
  <c r="M30" i="40"/>
  <c r="N30" i="40" s="1"/>
  <c r="P21" i="40"/>
  <c r="Q21" i="40" s="1"/>
  <c r="J21" i="40"/>
  <c r="K21" i="40" s="1"/>
  <c r="R21" i="40"/>
  <c r="M21" i="40"/>
  <c r="N21" i="40" s="1"/>
  <c r="G21" i="40"/>
  <c r="H21" i="40" s="1"/>
  <c r="P19" i="40"/>
  <c r="Q19" i="40" s="1"/>
  <c r="J19" i="40"/>
  <c r="K19" i="40" s="1"/>
  <c r="R19" i="40"/>
  <c r="M19" i="40"/>
  <c r="N19" i="40" s="1"/>
  <c r="G19" i="40"/>
  <c r="H19" i="40" s="1"/>
  <c r="P18" i="40"/>
  <c r="Q18" i="40" s="1"/>
  <c r="J18" i="40"/>
  <c r="K18" i="40" s="1"/>
  <c r="R18" i="40"/>
  <c r="M18" i="40"/>
  <c r="N18" i="40" s="1"/>
  <c r="G18" i="40"/>
  <c r="H18" i="40" s="1"/>
  <c r="P17" i="40"/>
  <c r="Q17" i="40" s="1"/>
  <c r="J17" i="40"/>
  <c r="K17" i="40" s="1"/>
  <c r="R17" i="40"/>
  <c r="M17" i="40"/>
  <c r="N17" i="40" s="1"/>
  <c r="G17" i="40"/>
  <c r="H17" i="40" s="1"/>
  <c r="T16" i="40"/>
  <c r="P15" i="40"/>
  <c r="Q15" i="40" s="1"/>
  <c r="J15" i="40"/>
  <c r="K15" i="40" s="1"/>
  <c r="R15" i="40"/>
  <c r="M15" i="40"/>
  <c r="N15" i="40" s="1"/>
  <c r="G15" i="40"/>
  <c r="H15" i="40" s="1"/>
  <c r="O11" i="40"/>
  <c r="L11" i="40"/>
  <c r="I11" i="40"/>
  <c r="F11" i="40"/>
  <c r="M48" i="39" l="1"/>
  <c r="N48" i="39" s="1"/>
  <c r="L42" i="39"/>
  <c r="N42" i="39" s="1"/>
  <c r="M211" i="39"/>
  <c r="N211" i="39" s="1"/>
  <c r="L144" i="39"/>
  <c r="N144" i="39" s="1"/>
  <c r="L188" i="39"/>
  <c r="N188" i="39" s="1"/>
  <c r="L17" i="39"/>
  <c r="N17" i="39" s="1"/>
  <c r="L27" i="39"/>
  <c r="N27" i="39" s="1"/>
  <c r="L194" i="39"/>
  <c r="N194" i="39" s="1"/>
  <c r="M34" i="39"/>
  <c r="N34" i="39" s="1"/>
  <c r="L172" i="39"/>
  <c r="N172" i="39" s="1"/>
  <c r="M20" i="39"/>
  <c r="N20" i="39" s="1"/>
  <c r="L36" i="39"/>
  <c r="N36" i="39" s="1"/>
  <c r="M56" i="39"/>
  <c r="N56" i="39" s="1"/>
  <c r="M184" i="39"/>
  <c r="N184" i="39" s="1"/>
  <c r="L21" i="39"/>
  <c r="N21" i="39" s="1"/>
  <c r="M74" i="39"/>
  <c r="N74" i="39" s="1"/>
  <c r="L169" i="39"/>
  <c r="N169" i="39" s="1"/>
  <c r="L147" i="39"/>
  <c r="N147" i="39" s="1"/>
  <c r="L60" i="39"/>
  <c r="N60" i="39" s="1"/>
  <c r="M97" i="39"/>
  <c r="N97" i="39" s="1"/>
  <c r="L173" i="39"/>
  <c r="N173" i="39" s="1"/>
  <c r="L38" i="39"/>
  <c r="N38" i="39" s="1"/>
  <c r="L66" i="39"/>
  <c r="N66" i="39" s="1"/>
  <c r="L76" i="39"/>
  <c r="N76" i="39" s="1"/>
  <c r="L80" i="39"/>
  <c r="N80" i="39" s="1"/>
  <c r="R25" i="40"/>
  <c r="M25" i="40"/>
  <c r="N25" i="40" s="1"/>
  <c r="M20" i="40"/>
  <c r="N20" i="40" s="1"/>
  <c r="R20" i="40"/>
  <c r="J20" i="40"/>
  <c r="K20" i="40" s="1"/>
  <c r="L206" i="39"/>
  <c r="N206" i="39" s="1"/>
  <c r="M118" i="39"/>
  <c r="N118" i="39" s="1"/>
  <c r="L212" i="39"/>
  <c r="N212" i="39" s="1"/>
  <c r="M207" i="39"/>
  <c r="N207" i="39" s="1"/>
  <c r="M202" i="39"/>
  <c r="N202" i="39" s="1"/>
  <c r="M131" i="39"/>
  <c r="N131" i="39" s="1"/>
  <c r="L93" i="39"/>
  <c r="N93" i="39" s="1"/>
  <c r="M62" i="39"/>
  <c r="N62" i="39" s="1"/>
  <c r="M78" i="39"/>
  <c r="N78" i="39" s="1"/>
  <c r="M72" i="39"/>
  <c r="N72" i="39" s="1"/>
  <c r="L59" i="39"/>
  <c r="N59" i="39" s="1"/>
  <c r="L209" i="39"/>
  <c r="N209" i="39" s="1"/>
  <c r="L195" i="39"/>
  <c r="N195" i="39" s="1"/>
  <c r="M190" i="39"/>
  <c r="N190" i="39" s="1"/>
  <c r="L175" i="39"/>
  <c r="N175" i="39" s="1"/>
  <c r="M170" i="39"/>
  <c r="N170" i="39" s="1"/>
  <c r="M165" i="39"/>
  <c r="N165" i="39" s="1"/>
  <c r="M111" i="39"/>
  <c r="N111" i="39" s="1"/>
  <c r="L105" i="39"/>
  <c r="N105" i="39" s="1"/>
  <c r="M100" i="39"/>
  <c r="N100" i="39" s="1"/>
  <c r="M86" i="39"/>
  <c r="N86" i="39" s="1"/>
  <c r="M145" i="39"/>
  <c r="N145" i="39" s="1"/>
  <c r="L95" i="39"/>
  <c r="N95" i="39" s="1"/>
  <c r="L108" i="39"/>
  <c r="N108" i="39" s="1"/>
  <c r="M43" i="39"/>
  <c r="N43" i="39" s="1"/>
  <c r="M18" i="39"/>
  <c r="N18" i="39" s="1"/>
  <c r="L216" i="39"/>
  <c r="N216" i="39" s="1"/>
  <c r="L201" i="39"/>
  <c r="N201" i="39" s="1"/>
  <c r="M187" i="39"/>
  <c r="N187" i="39" s="1"/>
  <c r="M161" i="39"/>
  <c r="N161" i="39" s="1"/>
  <c r="M152" i="39"/>
  <c r="N152" i="39" s="1"/>
  <c r="M141" i="39"/>
  <c r="N141" i="39" s="1"/>
  <c r="L83" i="39"/>
  <c r="N83" i="39" s="1"/>
  <c r="L40" i="39"/>
  <c r="N40" i="39" s="1"/>
  <c r="L182" i="39"/>
  <c r="N182" i="39" s="1"/>
  <c r="L162" i="39"/>
  <c r="N162" i="39" s="1"/>
  <c r="M142" i="39"/>
  <c r="N142" i="39" s="1"/>
  <c r="L109" i="39"/>
  <c r="N109" i="39" s="1"/>
  <c r="M81" i="39"/>
  <c r="N81" i="39" s="1"/>
  <c r="M84" i="39"/>
  <c r="N84" i="39" s="1"/>
  <c r="L181" i="39"/>
  <c r="N181" i="39" s="1"/>
  <c r="L73" i="39"/>
  <c r="N73" i="39" s="1"/>
  <c r="L35" i="39"/>
  <c r="N35" i="39" s="1"/>
  <c r="L102" i="39"/>
  <c r="N102" i="39" s="1"/>
  <c r="L85" i="39"/>
  <c r="N85" i="39" s="1"/>
  <c r="M193" i="39"/>
  <c r="N193" i="39" s="1"/>
  <c r="L136" i="39"/>
  <c r="N136" i="39" s="1"/>
  <c r="L119" i="39"/>
  <c r="N119" i="39" s="1"/>
  <c r="M65" i="39"/>
  <c r="N65" i="39" s="1"/>
  <c r="M47" i="39"/>
  <c r="N47" i="39" s="1"/>
  <c r="L61" i="39"/>
  <c r="N61" i="39" s="1"/>
  <c r="M41" i="39"/>
  <c r="N41" i="39" s="1"/>
  <c r="M164" i="39"/>
  <c r="N164" i="39" s="1"/>
  <c r="L126" i="39"/>
  <c r="N126" i="39" s="1"/>
  <c r="L55" i="39"/>
  <c r="N55" i="39" s="1"/>
  <c r="L26" i="39"/>
  <c r="N26" i="39" s="1"/>
  <c r="L16" i="39"/>
  <c r="N16" i="39" s="1"/>
  <c r="R62" i="40"/>
  <c r="G62" i="40"/>
  <c r="H62" i="40" s="1"/>
  <c r="S62" i="40" s="1"/>
  <c r="J58" i="40"/>
  <c r="K58" i="40" s="1"/>
  <c r="G58" i="40"/>
  <c r="H58" i="40" s="1"/>
  <c r="P58" i="40"/>
  <c r="Q58" i="40" s="1"/>
  <c r="S58" i="40" s="1"/>
  <c r="G54" i="40"/>
  <c r="H54" i="40" s="1"/>
  <c r="M58" i="40"/>
  <c r="N58" i="40" s="1"/>
  <c r="M56" i="40"/>
  <c r="N56" i="40" s="1"/>
  <c r="J56" i="40"/>
  <c r="K56" i="40" s="1"/>
  <c r="J50" i="40"/>
  <c r="K50" i="40" s="1"/>
  <c r="S50" i="40" s="1"/>
  <c r="G50" i="40"/>
  <c r="H50" i="40" s="1"/>
  <c r="G48" i="40"/>
  <c r="H48" i="40" s="1"/>
  <c r="M48" i="40"/>
  <c r="N48" i="40" s="1"/>
  <c r="J48" i="40"/>
  <c r="K48" i="40" s="1"/>
  <c r="P48" i="40"/>
  <c r="Q48" i="40" s="1"/>
  <c r="J38" i="40"/>
  <c r="K38" i="40" s="1"/>
  <c r="M38" i="40"/>
  <c r="N38" i="40" s="1"/>
  <c r="R38" i="40"/>
  <c r="G38" i="40"/>
  <c r="H38" i="40" s="1"/>
  <c r="J29" i="40"/>
  <c r="K29" i="40" s="1"/>
  <c r="J30" i="40"/>
  <c r="K30" i="40" s="1"/>
  <c r="M29" i="40"/>
  <c r="N29" i="40" s="1"/>
  <c r="G30" i="40"/>
  <c r="H30" i="40" s="1"/>
  <c r="P30" i="40"/>
  <c r="Q30" i="40" s="1"/>
  <c r="R29" i="40"/>
  <c r="G29" i="40"/>
  <c r="H29" i="40" s="1"/>
  <c r="S29" i="40" s="1"/>
  <c r="J25" i="40"/>
  <c r="K25" i="40" s="1"/>
  <c r="G25" i="40"/>
  <c r="H25" i="40" s="1"/>
  <c r="M44" i="40"/>
  <c r="N44" i="40" s="1"/>
  <c r="M133" i="39"/>
  <c r="N133" i="39" s="1"/>
  <c r="G60" i="40"/>
  <c r="H60" i="40" s="1"/>
  <c r="L155" i="39"/>
  <c r="N155" i="39" s="1"/>
  <c r="M68" i="40"/>
  <c r="N68" i="40" s="1"/>
  <c r="H71" i="40"/>
  <c r="P52" i="40"/>
  <c r="Q52" i="40" s="1"/>
  <c r="M22" i="39"/>
  <c r="N22" i="39" s="1"/>
  <c r="L204" i="39"/>
  <c r="N204" i="39" s="1"/>
  <c r="J64" i="40"/>
  <c r="K64" i="40" s="1"/>
  <c r="L28" i="39"/>
  <c r="N28" i="39" s="1"/>
  <c r="M75" i="39"/>
  <c r="N75" i="39" s="1"/>
  <c r="M98" i="39"/>
  <c r="M124" i="39"/>
  <c r="N124" i="39" s="1"/>
  <c r="M183" i="39"/>
  <c r="N183" i="39" s="1"/>
  <c r="G56" i="40"/>
  <c r="H56" i="40" s="1"/>
  <c r="P56" i="40"/>
  <c r="Q56" i="40" s="1"/>
  <c r="G64" i="40"/>
  <c r="H64" i="40" s="1"/>
  <c r="P64" i="40"/>
  <c r="Q64" i="40" s="1"/>
  <c r="G20" i="40"/>
  <c r="H20" i="40" s="1"/>
  <c r="M60" i="40"/>
  <c r="N60" i="40" s="1"/>
  <c r="P71" i="40"/>
  <c r="G32" i="40"/>
  <c r="H32" i="40" s="1"/>
  <c r="J27" i="40"/>
  <c r="K27" i="40" s="1"/>
  <c r="Q71" i="40"/>
  <c r="M37" i="39"/>
  <c r="N37" i="39" s="1"/>
  <c r="P32" i="40"/>
  <c r="Q32" i="40" s="1"/>
  <c r="G68" i="40"/>
  <c r="H68" i="40" s="1"/>
  <c r="G44" i="40"/>
  <c r="H44" i="40" s="1"/>
  <c r="S44" i="40" s="1"/>
  <c r="G52" i="40"/>
  <c r="H52" i="40" s="1"/>
  <c r="R71" i="40"/>
  <c r="J32" i="40"/>
  <c r="K32" i="40" s="1"/>
  <c r="R27" i="40"/>
  <c r="P44" i="40"/>
  <c r="Q44" i="40" s="1"/>
  <c r="J52" i="40"/>
  <c r="K52" i="40" s="1"/>
  <c r="K71" i="40"/>
  <c r="J71" i="40"/>
  <c r="L116" i="39"/>
  <c r="N116" i="39" s="1"/>
  <c r="M32" i="40"/>
  <c r="N32" i="40" s="1"/>
  <c r="J68" i="40"/>
  <c r="K68" i="40" s="1"/>
  <c r="R68" i="40"/>
  <c r="G27" i="40"/>
  <c r="H27" i="40" s="1"/>
  <c r="P27" i="40"/>
  <c r="Q27" i="40" s="1"/>
  <c r="R44" i="40"/>
  <c r="M52" i="40"/>
  <c r="N52" i="40" s="1"/>
  <c r="J60" i="40"/>
  <c r="K60" i="40" s="1"/>
  <c r="R60" i="40"/>
  <c r="G71" i="40"/>
  <c r="N71" i="40"/>
  <c r="L54" i="39"/>
  <c r="N54" i="39" s="1"/>
  <c r="L130" i="39"/>
  <c r="N130" i="39" s="1"/>
  <c r="L168" i="39"/>
  <c r="N168" i="39" s="1"/>
  <c r="L192" i="39"/>
  <c r="N192" i="39" s="1"/>
  <c r="L217" i="39"/>
  <c r="N217" i="39" s="1"/>
  <c r="M71" i="40"/>
  <c r="L67" i="39"/>
  <c r="N67" i="39" s="1"/>
  <c r="L79" i="39"/>
  <c r="N79" i="39" s="1"/>
  <c r="L92" i="39"/>
  <c r="N92" i="39" s="1"/>
  <c r="L103" i="39"/>
  <c r="N103" i="39" s="1"/>
  <c r="M153" i="39"/>
  <c r="M189" i="39"/>
  <c r="N189" i="39" s="1"/>
  <c r="L214" i="39"/>
  <c r="N214" i="39" s="1"/>
  <c r="L143" i="39"/>
  <c r="N143" i="39" s="1"/>
  <c r="S57" i="40"/>
  <c r="M167" i="39"/>
  <c r="M174" i="39"/>
  <c r="N174" i="39" s="1"/>
  <c r="S46" i="40"/>
  <c r="L185" i="39"/>
  <c r="N185" i="39" s="1"/>
  <c r="L154" i="39"/>
  <c r="N154" i="39" s="1"/>
  <c r="L163" i="39"/>
  <c r="N163" i="39" s="1"/>
  <c r="M148" i="39"/>
  <c r="N148" i="39" s="1"/>
  <c r="L150" i="39"/>
  <c r="N150" i="39" s="1"/>
  <c r="L149" i="39"/>
  <c r="N149" i="39" s="1"/>
  <c r="L135" i="39"/>
  <c r="N135" i="39" s="1"/>
  <c r="L138" i="39"/>
  <c r="N138" i="39" s="1"/>
  <c r="M128" i="39"/>
  <c r="N128" i="39" s="1"/>
  <c r="L121" i="39"/>
  <c r="N121" i="39" s="1"/>
  <c r="L125" i="39"/>
  <c r="N125" i="39" s="1"/>
  <c r="L113" i="39"/>
  <c r="N113" i="39" s="1"/>
  <c r="L114" i="39"/>
  <c r="N114" i="39" s="1"/>
  <c r="L64" i="39"/>
  <c r="N64" i="39" s="1"/>
  <c r="L57" i="39"/>
  <c r="N57" i="39" s="1"/>
  <c r="L45" i="39"/>
  <c r="N45" i="39" s="1"/>
  <c r="L46" i="39"/>
  <c r="N46" i="39" s="1"/>
  <c r="M218" i="39"/>
  <c r="N218" i="39" s="1"/>
  <c r="N23" i="39"/>
  <c r="M25" i="39"/>
  <c r="N25" i="39" s="1"/>
  <c r="N15" i="39"/>
  <c r="S37" i="40"/>
  <c r="S21" i="40"/>
  <c r="S36" i="40"/>
  <c r="S26" i="40"/>
  <c r="S42" i="40"/>
  <c r="S47" i="40"/>
  <c r="S22" i="40"/>
  <c r="S41" i="40"/>
  <c r="S51" i="40"/>
  <c r="S61" i="40"/>
  <c r="S66" i="40"/>
  <c r="S67" i="40"/>
  <c r="S31" i="40"/>
  <c r="S17" i="40"/>
  <c r="S43" i="40"/>
  <c r="S65" i="40"/>
  <c r="S23" i="40"/>
  <c r="S63" i="40"/>
  <c r="S64" i="40"/>
  <c r="S18" i="40"/>
  <c r="S19" i="40"/>
  <c r="S45" i="40"/>
  <c r="S34" i="40"/>
  <c r="S38" i="40"/>
  <c r="S49" i="40"/>
  <c r="S54" i="40"/>
  <c r="S59" i="40"/>
  <c r="S33" i="40"/>
  <c r="S35" i="40"/>
  <c r="S24" i="40"/>
  <c r="S28" i="40"/>
  <c r="S39" i="40"/>
  <c r="S53" i="40"/>
  <c r="S55" i="40"/>
  <c r="S15" i="40"/>
  <c r="S40" i="40"/>
  <c r="M16" i="40"/>
  <c r="N16" i="40" s="1"/>
  <c r="R16" i="40"/>
  <c r="J16" i="40"/>
  <c r="K16" i="40" s="1"/>
  <c r="P16" i="40"/>
  <c r="Q16" i="40" s="1"/>
  <c r="G16" i="40"/>
  <c r="H16" i="40" s="1"/>
  <c r="G25" i="55"/>
  <c r="F25" i="55"/>
  <c r="E25" i="55"/>
  <c r="D25" i="55"/>
  <c r="C25" i="55"/>
  <c r="B6" i="55"/>
  <c r="B7" i="55"/>
  <c r="B8" i="55"/>
  <c r="G8" i="55" s="1"/>
  <c r="B9" i="55"/>
  <c r="B5" i="55"/>
  <c r="J9" i="73"/>
  <c r="J10" i="73"/>
  <c r="J11" i="73"/>
  <c r="J12" i="73"/>
  <c r="J13" i="73"/>
  <c r="J14" i="73"/>
  <c r="J8" i="73"/>
  <c r="D9" i="73"/>
  <c r="E9" i="73"/>
  <c r="F9" i="73"/>
  <c r="G9" i="73"/>
  <c r="D10" i="73"/>
  <c r="E10" i="73"/>
  <c r="F10" i="73"/>
  <c r="G10" i="73"/>
  <c r="D11" i="73"/>
  <c r="E11" i="73"/>
  <c r="F11" i="73"/>
  <c r="G11" i="73"/>
  <c r="D12" i="73"/>
  <c r="E12" i="73"/>
  <c r="F12" i="73"/>
  <c r="G12" i="73"/>
  <c r="D13" i="73"/>
  <c r="E13" i="73"/>
  <c r="F13" i="73"/>
  <c r="G13" i="73"/>
  <c r="D14" i="73"/>
  <c r="E14" i="73"/>
  <c r="F14" i="73"/>
  <c r="G14" i="73"/>
  <c r="D15" i="73"/>
  <c r="E15" i="73"/>
  <c r="F15" i="73"/>
  <c r="G15" i="73"/>
  <c r="D16" i="73"/>
  <c r="E16" i="73"/>
  <c r="F16" i="73"/>
  <c r="G16" i="73"/>
  <c r="D17" i="73"/>
  <c r="E17" i="73"/>
  <c r="F17" i="73"/>
  <c r="G17" i="73"/>
  <c r="D18" i="73"/>
  <c r="E18" i="73"/>
  <c r="F18" i="73"/>
  <c r="G18" i="73"/>
  <c r="D19" i="73"/>
  <c r="E19" i="73"/>
  <c r="F19" i="73"/>
  <c r="G19" i="73"/>
  <c r="D20" i="73"/>
  <c r="E20" i="73"/>
  <c r="F20" i="73"/>
  <c r="G20" i="73"/>
  <c r="D21" i="73"/>
  <c r="E21" i="73"/>
  <c r="F21" i="73"/>
  <c r="G21" i="73"/>
  <c r="D22" i="73"/>
  <c r="E22" i="73"/>
  <c r="F22" i="73"/>
  <c r="G22" i="73"/>
  <c r="D23" i="73"/>
  <c r="E23" i="73"/>
  <c r="F23" i="73"/>
  <c r="G23" i="73"/>
  <c r="D24" i="73"/>
  <c r="E24" i="73"/>
  <c r="F24" i="73"/>
  <c r="G24" i="73"/>
  <c r="D25" i="73"/>
  <c r="E25" i="73"/>
  <c r="F25" i="73"/>
  <c r="G25" i="73"/>
  <c r="D26" i="73"/>
  <c r="E26" i="73"/>
  <c r="F26" i="73"/>
  <c r="G26" i="73"/>
  <c r="D27" i="73"/>
  <c r="E27" i="73"/>
  <c r="F27" i="73"/>
  <c r="G27" i="73"/>
  <c r="D28" i="73"/>
  <c r="E28" i="73"/>
  <c r="F28" i="73"/>
  <c r="G28" i="73"/>
  <c r="D29" i="73"/>
  <c r="E29" i="73"/>
  <c r="F29" i="73"/>
  <c r="G29" i="73"/>
  <c r="D30" i="73"/>
  <c r="E30" i="73"/>
  <c r="F30" i="73"/>
  <c r="G30" i="73"/>
  <c r="D31" i="73"/>
  <c r="E31" i="73"/>
  <c r="F31" i="73"/>
  <c r="G31" i="73"/>
  <c r="D32" i="73"/>
  <c r="E32" i="73"/>
  <c r="F32" i="73"/>
  <c r="G32" i="73"/>
  <c r="D33" i="73"/>
  <c r="E33" i="73"/>
  <c r="F33" i="73"/>
  <c r="G33" i="73"/>
  <c r="D34" i="73"/>
  <c r="E34" i="73"/>
  <c r="F34" i="73"/>
  <c r="G34" i="73"/>
  <c r="D35" i="73"/>
  <c r="E35" i="73"/>
  <c r="F35" i="73"/>
  <c r="G35" i="73"/>
  <c r="D36" i="73"/>
  <c r="E36" i="73"/>
  <c r="F36" i="73"/>
  <c r="G36" i="73"/>
  <c r="D37" i="73"/>
  <c r="E37" i="73"/>
  <c r="F37" i="73"/>
  <c r="G37" i="73"/>
  <c r="D38" i="73"/>
  <c r="E38" i="73"/>
  <c r="F38" i="73"/>
  <c r="G38" i="73"/>
  <c r="D39" i="73"/>
  <c r="E39" i="73"/>
  <c r="F39" i="73"/>
  <c r="G39" i="73"/>
  <c r="D40" i="73"/>
  <c r="E40" i="73"/>
  <c r="F40" i="73"/>
  <c r="G40" i="73"/>
  <c r="D41" i="73"/>
  <c r="E41" i="73"/>
  <c r="F41" i="73"/>
  <c r="G41" i="73"/>
  <c r="D42" i="73"/>
  <c r="E42" i="73"/>
  <c r="F42" i="73"/>
  <c r="G42" i="73"/>
  <c r="D43" i="73"/>
  <c r="E43" i="73"/>
  <c r="F43" i="73"/>
  <c r="G43" i="73"/>
  <c r="D44" i="73"/>
  <c r="E44" i="73"/>
  <c r="F44" i="73"/>
  <c r="G44" i="73"/>
  <c r="D45" i="73"/>
  <c r="E45" i="73"/>
  <c r="F45" i="73"/>
  <c r="G45" i="73"/>
  <c r="D46" i="73"/>
  <c r="E46" i="73"/>
  <c r="F46" i="73"/>
  <c r="G46" i="73"/>
  <c r="D47" i="73"/>
  <c r="E47" i="73"/>
  <c r="F47" i="73"/>
  <c r="G47" i="73"/>
  <c r="D48" i="73"/>
  <c r="E48" i="73"/>
  <c r="F48" i="73"/>
  <c r="G48" i="73"/>
  <c r="D49" i="73"/>
  <c r="E49" i="73"/>
  <c r="F49" i="73"/>
  <c r="G49" i="73"/>
  <c r="D50" i="73"/>
  <c r="E50" i="73"/>
  <c r="F50" i="73"/>
  <c r="G50" i="73"/>
  <c r="D51" i="73"/>
  <c r="E51" i="73"/>
  <c r="F51" i="73"/>
  <c r="G51" i="73"/>
  <c r="D52" i="73"/>
  <c r="E52" i="73"/>
  <c r="F52" i="73"/>
  <c r="G52" i="73"/>
  <c r="D53" i="73"/>
  <c r="E53" i="73"/>
  <c r="F53" i="73"/>
  <c r="G53" i="73"/>
  <c r="D54" i="73"/>
  <c r="E54" i="73"/>
  <c r="F54" i="73"/>
  <c r="G54" i="73"/>
  <c r="D55" i="73"/>
  <c r="E55" i="73"/>
  <c r="F55" i="73"/>
  <c r="G55" i="73"/>
  <c r="D56" i="73"/>
  <c r="E56" i="73"/>
  <c r="F56" i="73"/>
  <c r="G56" i="73"/>
  <c r="D57" i="73"/>
  <c r="E57" i="73"/>
  <c r="F57" i="73"/>
  <c r="G57" i="73"/>
  <c r="D58" i="73"/>
  <c r="E58" i="73"/>
  <c r="F58" i="73"/>
  <c r="G58" i="73"/>
  <c r="D59" i="73"/>
  <c r="E59" i="73"/>
  <c r="F59" i="73"/>
  <c r="G59" i="73"/>
  <c r="D60" i="73"/>
  <c r="E60" i="73"/>
  <c r="F60" i="73"/>
  <c r="G60" i="73"/>
  <c r="D61" i="73"/>
  <c r="E61" i="73"/>
  <c r="F61" i="73"/>
  <c r="G61" i="73"/>
  <c r="D62" i="73"/>
  <c r="E62" i="73"/>
  <c r="F62" i="73"/>
  <c r="G62" i="73"/>
  <c r="D63" i="73"/>
  <c r="E63" i="73"/>
  <c r="F63" i="73"/>
  <c r="G63" i="73"/>
  <c r="D64" i="73"/>
  <c r="E64" i="73"/>
  <c r="F64" i="73"/>
  <c r="G64" i="73"/>
  <c r="D65" i="73"/>
  <c r="E65" i="73"/>
  <c r="F65" i="73"/>
  <c r="G65" i="73"/>
  <c r="D66" i="73"/>
  <c r="E66" i="73"/>
  <c r="F66" i="73"/>
  <c r="G66" i="73"/>
  <c r="D67" i="73"/>
  <c r="E67" i="73"/>
  <c r="F67" i="73"/>
  <c r="G67" i="73"/>
  <c r="D68" i="73"/>
  <c r="E68" i="73"/>
  <c r="F68" i="73"/>
  <c r="G68" i="73"/>
  <c r="D69" i="73"/>
  <c r="E69" i="73"/>
  <c r="F69" i="73"/>
  <c r="G69" i="73"/>
  <c r="D70" i="73"/>
  <c r="E70" i="73"/>
  <c r="F70" i="73"/>
  <c r="G70" i="73"/>
  <c r="D71" i="73"/>
  <c r="E71" i="73"/>
  <c r="F71" i="73"/>
  <c r="G71" i="73"/>
  <c r="D72" i="73"/>
  <c r="E72" i="73"/>
  <c r="F72" i="73"/>
  <c r="G72" i="73"/>
  <c r="D73" i="73"/>
  <c r="E73" i="73"/>
  <c r="F73" i="73"/>
  <c r="G73" i="73"/>
  <c r="D74" i="73"/>
  <c r="E74" i="73"/>
  <c r="F74" i="73"/>
  <c r="G74" i="73"/>
  <c r="D75" i="73"/>
  <c r="E75" i="73"/>
  <c r="F75" i="73"/>
  <c r="G75" i="73"/>
  <c r="D76" i="73"/>
  <c r="E76" i="73"/>
  <c r="F76" i="73"/>
  <c r="G76" i="73"/>
  <c r="D77" i="73"/>
  <c r="E77" i="73"/>
  <c r="F77" i="73"/>
  <c r="G77" i="73"/>
  <c r="D78" i="73"/>
  <c r="E78" i="73"/>
  <c r="F78" i="73"/>
  <c r="G78" i="73"/>
  <c r="D79" i="73"/>
  <c r="E79" i="73"/>
  <c r="F79" i="73"/>
  <c r="G79" i="73"/>
  <c r="D80" i="73"/>
  <c r="E80" i="73"/>
  <c r="F80" i="73"/>
  <c r="G80" i="73"/>
  <c r="D81" i="73"/>
  <c r="E81" i="73"/>
  <c r="F81" i="73"/>
  <c r="G81" i="73"/>
  <c r="D82" i="73"/>
  <c r="E82" i="73"/>
  <c r="F82" i="73"/>
  <c r="G82" i="73"/>
  <c r="D83" i="73"/>
  <c r="E83" i="73"/>
  <c r="F83" i="73"/>
  <c r="G83" i="73"/>
  <c r="D84" i="73"/>
  <c r="E84" i="73"/>
  <c r="F84" i="73"/>
  <c r="G84" i="73"/>
  <c r="D85" i="73"/>
  <c r="E85" i="73"/>
  <c r="F85" i="73"/>
  <c r="G85" i="73"/>
  <c r="D86" i="73"/>
  <c r="E86" i="73"/>
  <c r="F86" i="73"/>
  <c r="G86" i="73"/>
  <c r="D87" i="73"/>
  <c r="E87" i="73"/>
  <c r="F87" i="73"/>
  <c r="G87" i="73"/>
  <c r="D88" i="73"/>
  <c r="E88" i="73"/>
  <c r="F88" i="73"/>
  <c r="G88" i="73"/>
  <c r="D89" i="73"/>
  <c r="E89" i="73"/>
  <c r="F89" i="73"/>
  <c r="G89" i="73"/>
  <c r="D90" i="73"/>
  <c r="E90" i="73"/>
  <c r="F90" i="73"/>
  <c r="G90" i="73"/>
  <c r="D91" i="73"/>
  <c r="E91" i="73"/>
  <c r="F91" i="73"/>
  <c r="G91" i="73"/>
  <c r="D92" i="73"/>
  <c r="E92" i="73"/>
  <c r="F92" i="73"/>
  <c r="G92" i="73"/>
  <c r="D93" i="73"/>
  <c r="E93" i="73"/>
  <c r="F93" i="73"/>
  <c r="G93" i="73"/>
  <c r="D94" i="73"/>
  <c r="E94" i="73"/>
  <c r="F94" i="73"/>
  <c r="G94" i="73"/>
  <c r="D95" i="73"/>
  <c r="E95" i="73"/>
  <c r="F95" i="73"/>
  <c r="G95" i="73"/>
  <c r="D96" i="73"/>
  <c r="E96" i="73"/>
  <c r="F96" i="73"/>
  <c r="G96" i="73"/>
  <c r="D97" i="73"/>
  <c r="E97" i="73"/>
  <c r="F97" i="73"/>
  <c r="G97" i="73"/>
  <c r="D98" i="73"/>
  <c r="E98" i="73"/>
  <c r="F98" i="73"/>
  <c r="G98" i="73"/>
  <c r="D99" i="73"/>
  <c r="E99" i="73"/>
  <c r="F99" i="73"/>
  <c r="G99" i="73"/>
  <c r="D100" i="73"/>
  <c r="E100" i="73"/>
  <c r="F100" i="73"/>
  <c r="G100" i="73"/>
  <c r="D101" i="73"/>
  <c r="E101" i="73"/>
  <c r="F101" i="73"/>
  <c r="G101" i="73"/>
  <c r="D102" i="73"/>
  <c r="E102" i="73"/>
  <c r="F102" i="73"/>
  <c r="G102" i="73"/>
  <c r="D103" i="73"/>
  <c r="E103" i="73"/>
  <c r="F103" i="73"/>
  <c r="G103" i="73"/>
  <c r="D104" i="73"/>
  <c r="E104" i="73"/>
  <c r="F104" i="73"/>
  <c r="G104" i="73"/>
  <c r="D105" i="73"/>
  <c r="E105" i="73"/>
  <c r="F105" i="73"/>
  <c r="G105" i="73"/>
  <c r="D106" i="73"/>
  <c r="E106" i="73"/>
  <c r="F106" i="73"/>
  <c r="G106" i="73"/>
  <c r="D107" i="73"/>
  <c r="E107" i="73"/>
  <c r="F107" i="73"/>
  <c r="G107" i="73"/>
  <c r="D108" i="73"/>
  <c r="E108" i="73"/>
  <c r="F108" i="73"/>
  <c r="G108" i="73"/>
  <c r="D109" i="73"/>
  <c r="E109" i="73"/>
  <c r="F109" i="73"/>
  <c r="G109" i="73"/>
  <c r="D110" i="73"/>
  <c r="E110" i="73"/>
  <c r="F110" i="73"/>
  <c r="G110" i="73"/>
  <c r="D111" i="73"/>
  <c r="E111" i="73"/>
  <c r="F111" i="73"/>
  <c r="G111" i="73"/>
  <c r="D112" i="73"/>
  <c r="E112" i="73"/>
  <c r="F112" i="73"/>
  <c r="G112" i="73"/>
  <c r="D113" i="73"/>
  <c r="E113" i="73"/>
  <c r="F113" i="73"/>
  <c r="G113" i="73"/>
  <c r="D114" i="73"/>
  <c r="E114" i="73"/>
  <c r="F114" i="73"/>
  <c r="G114" i="73"/>
  <c r="D115" i="73"/>
  <c r="E115" i="73"/>
  <c r="F115" i="73"/>
  <c r="G115" i="73"/>
  <c r="D116" i="73"/>
  <c r="E116" i="73"/>
  <c r="F116" i="73"/>
  <c r="G116" i="73"/>
  <c r="D117" i="73"/>
  <c r="E117" i="73"/>
  <c r="F117" i="73"/>
  <c r="G117" i="73"/>
  <c r="D118" i="73"/>
  <c r="E118" i="73"/>
  <c r="F118" i="73"/>
  <c r="G118" i="73"/>
  <c r="D119" i="73"/>
  <c r="E119" i="73"/>
  <c r="F119" i="73"/>
  <c r="G119" i="73"/>
  <c r="D120" i="73"/>
  <c r="E120" i="73"/>
  <c r="F120" i="73"/>
  <c r="G120" i="73"/>
  <c r="D121" i="73"/>
  <c r="E121" i="73"/>
  <c r="F121" i="73"/>
  <c r="G121" i="73"/>
  <c r="D122" i="73"/>
  <c r="E122" i="73"/>
  <c r="F122" i="73"/>
  <c r="G122" i="73"/>
  <c r="D123" i="73"/>
  <c r="E123" i="73"/>
  <c r="F123" i="73"/>
  <c r="G123" i="73"/>
  <c r="D124" i="73"/>
  <c r="E124" i="73"/>
  <c r="F124" i="73"/>
  <c r="G124" i="73"/>
  <c r="D125" i="73"/>
  <c r="E125" i="73"/>
  <c r="F125" i="73"/>
  <c r="G125" i="73"/>
  <c r="D126" i="73"/>
  <c r="E126" i="73"/>
  <c r="F126" i="73"/>
  <c r="G126" i="73"/>
  <c r="D127" i="73"/>
  <c r="E127" i="73"/>
  <c r="F127" i="73"/>
  <c r="G127" i="73"/>
  <c r="D128" i="73"/>
  <c r="E128" i="73"/>
  <c r="F128" i="73"/>
  <c r="G128" i="73"/>
  <c r="D129" i="73"/>
  <c r="E129" i="73"/>
  <c r="F129" i="73"/>
  <c r="G129" i="73"/>
  <c r="D130" i="73"/>
  <c r="E130" i="73"/>
  <c r="F130" i="73"/>
  <c r="G130" i="73"/>
  <c r="D131" i="73"/>
  <c r="E131" i="73"/>
  <c r="F131" i="73"/>
  <c r="G131" i="73"/>
  <c r="D132" i="73"/>
  <c r="E132" i="73"/>
  <c r="F132" i="73"/>
  <c r="G132" i="73"/>
  <c r="D133" i="73"/>
  <c r="E133" i="73"/>
  <c r="F133" i="73"/>
  <c r="G133" i="73"/>
  <c r="D134" i="73"/>
  <c r="E134" i="73"/>
  <c r="F134" i="73"/>
  <c r="G134" i="73"/>
  <c r="D135" i="73"/>
  <c r="E135" i="73"/>
  <c r="F135" i="73"/>
  <c r="G135" i="73"/>
  <c r="D136" i="73"/>
  <c r="E136" i="73"/>
  <c r="F136" i="73"/>
  <c r="G136" i="73"/>
  <c r="D137" i="73"/>
  <c r="E137" i="73"/>
  <c r="F137" i="73"/>
  <c r="G137" i="73"/>
  <c r="D138" i="73"/>
  <c r="E138" i="73"/>
  <c r="F138" i="73"/>
  <c r="G138" i="73"/>
  <c r="D139" i="73"/>
  <c r="E139" i="73"/>
  <c r="F139" i="73"/>
  <c r="G139" i="73"/>
  <c r="D140" i="73"/>
  <c r="E140" i="73"/>
  <c r="F140" i="73"/>
  <c r="G140" i="73"/>
  <c r="D141" i="73"/>
  <c r="E141" i="73"/>
  <c r="F141" i="73"/>
  <c r="G141" i="73"/>
  <c r="D142" i="73"/>
  <c r="E142" i="73"/>
  <c r="F142" i="73"/>
  <c r="G142" i="73"/>
  <c r="D143" i="73"/>
  <c r="E143" i="73"/>
  <c r="F143" i="73"/>
  <c r="G143" i="73"/>
  <c r="D144" i="73"/>
  <c r="E144" i="73"/>
  <c r="F144" i="73"/>
  <c r="G144" i="73"/>
  <c r="D145" i="73"/>
  <c r="E145" i="73"/>
  <c r="F145" i="73"/>
  <c r="G145" i="73"/>
  <c r="D146" i="73"/>
  <c r="E146" i="73"/>
  <c r="F146" i="73"/>
  <c r="G146" i="73"/>
  <c r="D147" i="73"/>
  <c r="E147" i="73"/>
  <c r="F147" i="73"/>
  <c r="G147" i="73"/>
  <c r="D148" i="73"/>
  <c r="E148" i="73"/>
  <c r="F148" i="73"/>
  <c r="G148" i="73"/>
  <c r="D149" i="73"/>
  <c r="E149" i="73"/>
  <c r="F149" i="73"/>
  <c r="G149" i="73"/>
  <c r="D150" i="73"/>
  <c r="E150" i="73"/>
  <c r="F150" i="73"/>
  <c r="G150" i="73"/>
  <c r="D151" i="73"/>
  <c r="E151" i="73"/>
  <c r="F151" i="73"/>
  <c r="G151" i="73"/>
  <c r="D152" i="73"/>
  <c r="E152" i="73"/>
  <c r="F152" i="73"/>
  <c r="G152" i="73"/>
  <c r="D153" i="73"/>
  <c r="E153" i="73"/>
  <c r="F153" i="73"/>
  <c r="G153" i="73"/>
  <c r="D154" i="73"/>
  <c r="E154" i="73"/>
  <c r="F154" i="73"/>
  <c r="G154" i="73"/>
  <c r="D155" i="73"/>
  <c r="E155" i="73"/>
  <c r="F155" i="73"/>
  <c r="G155" i="73"/>
  <c r="D156" i="73"/>
  <c r="E156" i="73"/>
  <c r="F156" i="73"/>
  <c r="G156" i="73"/>
  <c r="D157" i="73"/>
  <c r="E157" i="73"/>
  <c r="F157" i="73"/>
  <c r="G157" i="73"/>
  <c r="D158" i="73"/>
  <c r="E158" i="73"/>
  <c r="F158" i="73"/>
  <c r="G158" i="73"/>
  <c r="D159" i="73"/>
  <c r="E159" i="73"/>
  <c r="F159" i="73"/>
  <c r="G159" i="73"/>
  <c r="D160" i="73"/>
  <c r="E160" i="73"/>
  <c r="F160" i="73"/>
  <c r="G160" i="73"/>
  <c r="D161" i="73"/>
  <c r="E161" i="73"/>
  <c r="F161" i="73"/>
  <c r="G161" i="73"/>
  <c r="D162" i="73"/>
  <c r="E162" i="73"/>
  <c r="F162" i="73"/>
  <c r="G162" i="73"/>
  <c r="D163" i="73"/>
  <c r="E163" i="73"/>
  <c r="F163" i="73"/>
  <c r="G163" i="73"/>
  <c r="D164" i="73"/>
  <c r="E164" i="73"/>
  <c r="F164" i="73"/>
  <c r="G164" i="73"/>
  <c r="D165" i="73"/>
  <c r="E165" i="73"/>
  <c r="F165" i="73"/>
  <c r="G165" i="73"/>
  <c r="D166" i="73"/>
  <c r="E166" i="73"/>
  <c r="F166" i="73"/>
  <c r="G166" i="73"/>
  <c r="D167" i="73"/>
  <c r="E167" i="73"/>
  <c r="F167" i="73"/>
  <c r="G167" i="73"/>
  <c r="D168" i="73"/>
  <c r="E168" i="73"/>
  <c r="F168" i="73"/>
  <c r="G168" i="73"/>
  <c r="D169" i="73"/>
  <c r="E169" i="73"/>
  <c r="F169" i="73"/>
  <c r="G169" i="73"/>
  <c r="D170" i="73"/>
  <c r="E170" i="73"/>
  <c r="F170" i="73"/>
  <c r="G170" i="73"/>
  <c r="D171" i="73"/>
  <c r="E171" i="73"/>
  <c r="F171" i="73"/>
  <c r="G171" i="73"/>
  <c r="D172" i="73"/>
  <c r="E172" i="73"/>
  <c r="F172" i="73"/>
  <c r="G172" i="73"/>
  <c r="D173" i="73"/>
  <c r="E173" i="73"/>
  <c r="F173" i="73"/>
  <c r="G173" i="73"/>
  <c r="D174" i="73"/>
  <c r="E174" i="73"/>
  <c r="F174" i="73"/>
  <c r="G174" i="73"/>
  <c r="D175" i="73"/>
  <c r="E175" i="73"/>
  <c r="F175" i="73"/>
  <c r="G175" i="73"/>
  <c r="D176" i="73"/>
  <c r="E176" i="73"/>
  <c r="F176" i="73"/>
  <c r="G176" i="73"/>
  <c r="D177" i="73"/>
  <c r="E177" i="73"/>
  <c r="F177" i="73"/>
  <c r="G177" i="73"/>
  <c r="D178" i="73"/>
  <c r="E178" i="73"/>
  <c r="F178" i="73"/>
  <c r="G178" i="73"/>
  <c r="D179" i="73"/>
  <c r="E179" i="73"/>
  <c r="F179" i="73"/>
  <c r="G179" i="73"/>
  <c r="D180" i="73"/>
  <c r="E180" i="73"/>
  <c r="F180" i="73"/>
  <c r="G180" i="73"/>
  <c r="D181" i="73"/>
  <c r="E181" i="73"/>
  <c r="F181" i="73"/>
  <c r="G181" i="73"/>
  <c r="D182" i="73"/>
  <c r="E182" i="73"/>
  <c r="F182" i="73"/>
  <c r="G182" i="73"/>
  <c r="D183" i="73"/>
  <c r="E183" i="73"/>
  <c r="F183" i="73"/>
  <c r="G183" i="73"/>
  <c r="D184" i="73"/>
  <c r="E184" i="73"/>
  <c r="F184" i="73"/>
  <c r="G184" i="73"/>
  <c r="D185" i="73"/>
  <c r="E185" i="73"/>
  <c r="F185" i="73"/>
  <c r="G185" i="73"/>
  <c r="D186" i="73"/>
  <c r="E186" i="73"/>
  <c r="F186" i="73"/>
  <c r="G186" i="73"/>
  <c r="C9" i="73"/>
  <c r="C10" i="73"/>
  <c r="C11" i="73"/>
  <c r="C12" i="73"/>
  <c r="C13" i="73"/>
  <c r="C14" i="73"/>
  <c r="C15" i="73"/>
  <c r="C16" i="73"/>
  <c r="C17" i="73"/>
  <c r="C18" i="73"/>
  <c r="C19" i="73"/>
  <c r="C20" i="73"/>
  <c r="C21" i="73"/>
  <c r="C22" i="73"/>
  <c r="C23" i="73"/>
  <c r="C24" i="73"/>
  <c r="C25" i="73"/>
  <c r="C26" i="73"/>
  <c r="C27" i="73"/>
  <c r="C28" i="73"/>
  <c r="C29" i="73"/>
  <c r="C30" i="73"/>
  <c r="C31" i="73"/>
  <c r="C32" i="73"/>
  <c r="C33" i="73"/>
  <c r="C34" i="73"/>
  <c r="C35" i="73"/>
  <c r="C36" i="73"/>
  <c r="C37" i="73"/>
  <c r="C38" i="73"/>
  <c r="C39" i="73"/>
  <c r="C40" i="73"/>
  <c r="C41" i="73"/>
  <c r="C42" i="73"/>
  <c r="C43" i="73"/>
  <c r="C44" i="73"/>
  <c r="C45" i="73"/>
  <c r="C46" i="73"/>
  <c r="C47" i="73"/>
  <c r="C48" i="73"/>
  <c r="C49" i="73"/>
  <c r="C50" i="73"/>
  <c r="C51" i="73"/>
  <c r="C52" i="73"/>
  <c r="C53" i="73"/>
  <c r="C54" i="73"/>
  <c r="C55" i="73"/>
  <c r="C56" i="73"/>
  <c r="C57" i="73"/>
  <c r="C58" i="73"/>
  <c r="C59" i="73"/>
  <c r="C60" i="73"/>
  <c r="C61" i="73"/>
  <c r="C62" i="73"/>
  <c r="C63" i="73"/>
  <c r="C64" i="73"/>
  <c r="C65" i="73"/>
  <c r="C66" i="73"/>
  <c r="C67" i="73"/>
  <c r="C68" i="73"/>
  <c r="C69" i="73"/>
  <c r="C70" i="73"/>
  <c r="C71" i="73"/>
  <c r="C72" i="73"/>
  <c r="C73" i="73"/>
  <c r="C74" i="73"/>
  <c r="C75" i="73"/>
  <c r="C76" i="73"/>
  <c r="C77" i="73"/>
  <c r="C78" i="73"/>
  <c r="C79" i="73"/>
  <c r="C80" i="73"/>
  <c r="C81" i="73"/>
  <c r="C82" i="73"/>
  <c r="C83" i="73"/>
  <c r="C84" i="73"/>
  <c r="C85" i="73"/>
  <c r="C86" i="73"/>
  <c r="C87" i="73"/>
  <c r="C88" i="73"/>
  <c r="C89" i="73"/>
  <c r="C90" i="73"/>
  <c r="C91" i="73"/>
  <c r="C92" i="73"/>
  <c r="C93" i="73"/>
  <c r="C94" i="73"/>
  <c r="C95" i="73"/>
  <c r="C96" i="73"/>
  <c r="C97" i="73"/>
  <c r="C98" i="73"/>
  <c r="C99" i="73"/>
  <c r="C100" i="73"/>
  <c r="C101" i="73"/>
  <c r="C102" i="73"/>
  <c r="C103" i="73"/>
  <c r="C104" i="73"/>
  <c r="C105" i="73"/>
  <c r="C106" i="73"/>
  <c r="C107" i="73"/>
  <c r="C108" i="73"/>
  <c r="C109" i="73"/>
  <c r="C110" i="73"/>
  <c r="C111" i="73"/>
  <c r="C112" i="73"/>
  <c r="C113" i="73"/>
  <c r="C114" i="73"/>
  <c r="C115" i="73"/>
  <c r="C116" i="73"/>
  <c r="C117" i="73"/>
  <c r="C118" i="73"/>
  <c r="C119" i="73"/>
  <c r="C120" i="73"/>
  <c r="C121" i="73"/>
  <c r="C122" i="73"/>
  <c r="C123" i="73"/>
  <c r="C124" i="73"/>
  <c r="C125" i="73"/>
  <c r="C126" i="73"/>
  <c r="C127" i="73"/>
  <c r="C128" i="73"/>
  <c r="C129" i="73"/>
  <c r="C130" i="73"/>
  <c r="C131" i="73"/>
  <c r="C132" i="73"/>
  <c r="C133" i="73"/>
  <c r="C134" i="73"/>
  <c r="C135" i="73"/>
  <c r="C136" i="73"/>
  <c r="C137" i="73"/>
  <c r="C138" i="73"/>
  <c r="C139" i="73"/>
  <c r="C140" i="73"/>
  <c r="C141" i="73"/>
  <c r="C142" i="73"/>
  <c r="C143" i="73"/>
  <c r="C144" i="73"/>
  <c r="C145" i="73"/>
  <c r="C146" i="73"/>
  <c r="C147" i="73"/>
  <c r="C148" i="73"/>
  <c r="C149" i="73"/>
  <c r="C150" i="73"/>
  <c r="C151" i="73"/>
  <c r="C152" i="73"/>
  <c r="C153" i="73"/>
  <c r="C154" i="73"/>
  <c r="C155" i="73"/>
  <c r="C156" i="73"/>
  <c r="C157" i="73"/>
  <c r="C158" i="73"/>
  <c r="C159" i="73"/>
  <c r="C160" i="73"/>
  <c r="C161" i="73"/>
  <c r="C162" i="73"/>
  <c r="C163" i="73"/>
  <c r="C164" i="73"/>
  <c r="C165" i="73"/>
  <c r="C166" i="73"/>
  <c r="C167" i="73"/>
  <c r="C168" i="73"/>
  <c r="C169" i="73"/>
  <c r="C170" i="73"/>
  <c r="C171" i="73"/>
  <c r="C172" i="73"/>
  <c r="C173" i="73"/>
  <c r="C174" i="73"/>
  <c r="C175" i="73"/>
  <c r="C176" i="73"/>
  <c r="C177" i="73"/>
  <c r="C178" i="73"/>
  <c r="C179" i="73"/>
  <c r="C180" i="73"/>
  <c r="C181" i="73"/>
  <c r="C182" i="73"/>
  <c r="C183" i="73"/>
  <c r="C184" i="73"/>
  <c r="C185" i="73"/>
  <c r="C186" i="73"/>
  <c r="G8" i="73"/>
  <c r="F8" i="73"/>
  <c r="E8" i="73"/>
  <c r="D8" i="73"/>
  <c r="C8" i="73"/>
  <c r="W9" i="73"/>
  <c r="AB9" i="73" s="1"/>
  <c r="W10" i="73"/>
  <c r="AA10" i="73" s="1"/>
  <c r="W11" i="73"/>
  <c r="W12" i="73"/>
  <c r="W13" i="73"/>
  <c r="AB13" i="73" s="1"/>
  <c r="W14" i="73"/>
  <c r="AA14" i="73" s="1"/>
  <c r="W15" i="73"/>
  <c r="W16" i="73"/>
  <c r="W17" i="73"/>
  <c r="AB17" i="73" s="1"/>
  <c r="W18" i="73"/>
  <c r="AA18" i="73" s="1"/>
  <c r="W19" i="73"/>
  <c r="W20" i="73"/>
  <c r="W21" i="73"/>
  <c r="AB21" i="73" s="1"/>
  <c r="W22" i="73"/>
  <c r="AA22" i="73" s="1"/>
  <c r="W23" i="73"/>
  <c r="W24" i="73"/>
  <c r="W25" i="73"/>
  <c r="AB25" i="73" s="1"/>
  <c r="W26" i="73"/>
  <c r="AA26" i="73" s="1"/>
  <c r="W27" i="73"/>
  <c r="W28" i="73"/>
  <c r="W29" i="73"/>
  <c r="AB29" i="73" s="1"/>
  <c r="W30" i="73"/>
  <c r="AA30" i="73" s="1"/>
  <c r="W31" i="73"/>
  <c r="W32" i="73"/>
  <c r="W33" i="73"/>
  <c r="AB33" i="73" s="1"/>
  <c r="W34" i="73"/>
  <c r="AA34" i="73" s="1"/>
  <c r="W35" i="73"/>
  <c r="W36" i="73"/>
  <c r="Z36" i="73" s="1"/>
  <c r="W37" i="73"/>
  <c r="AB37" i="73" s="1"/>
  <c r="W38" i="73"/>
  <c r="AA38" i="73" s="1"/>
  <c r="W39" i="73"/>
  <c r="W40" i="73"/>
  <c r="Y40" i="73" s="1"/>
  <c r="W41" i="73"/>
  <c r="AB41" i="73" s="1"/>
  <c r="W42" i="73"/>
  <c r="AA42" i="73" s="1"/>
  <c r="W43" i="73"/>
  <c r="AB43" i="73" s="1"/>
  <c r="W44" i="73"/>
  <c r="W45" i="73"/>
  <c r="AB45" i="73" s="1"/>
  <c r="W46" i="73"/>
  <c r="AB46" i="73" s="1"/>
  <c r="W47" i="73"/>
  <c r="W48" i="73"/>
  <c r="Z48" i="73" s="1"/>
  <c r="W49" i="73"/>
  <c r="AB49" i="73" s="1"/>
  <c r="W50" i="73"/>
  <c r="AB50" i="73" s="1"/>
  <c r="W51" i="73"/>
  <c r="W52" i="73"/>
  <c r="Z52" i="73" s="1"/>
  <c r="W53" i="73"/>
  <c r="AB53" i="73" s="1"/>
  <c r="W54" i="73"/>
  <c r="AB54" i="73" s="1"/>
  <c r="W55" i="73"/>
  <c r="W56" i="73"/>
  <c r="AB56" i="73" s="1"/>
  <c r="W57" i="73"/>
  <c r="AB57" i="73" s="1"/>
  <c r="W58" i="73"/>
  <c r="AB58" i="73"/>
  <c r="W59" i="73"/>
  <c r="AB59" i="73" s="1"/>
  <c r="W60" i="73"/>
  <c r="AB60" i="73" s="1"/>
  <c r="W61" i="73"/>
  <c r="AA61" i="73" s="1"/>
  <c r="W8" i="73"/>
  <c r="I9" i="73"/>
  <c r="I10" i="73"/>
  <c r="I11" i="73"/>
  <c r="I12" i="73"/>
  <c r="I13" i="73"/>
  <c r="I14" i="73"/>
  <c r="I8" i="73"/>
  <c r="B9" i="73"/>
  <c r="B10" i="73"/>
  <c r="B11" i="73"/>
  <c r="B12" i="73"/>
  <c r="B13" i="73"/>
  <c r="B14" i="73"/>
  <c r="B15" i="73"/>
  <c r="B16" i="73"/>
  <c r="B17" i="73"/>
  <c r="B18" i="73"/>
  <c r="B19" i="73"/>
  <c r="B20" i="73"/>
  <c r="B21" i="73"/>
  <c r="B22" i="73"/>
  <c r="B23" i="73"/>
  <c r="B24" i="73"/>
  <c r="B25" i="73"/>
  <c r="B26" i="73"/>
  <c r="B27" i="73"/>
  <c r="B28" i="73"/>
  <c r="B29" i="73"/>
  <c r="B30" i="73"/>
  <c r="B31" i="73"/>
  <c r="B32" i="73"/>
  <c r="B33" i="73"/>
  <c r="B34" i="73"/>
  <c r="B35" i="73"/>
  <c r="B36" i="73"/>
  <c r="B37" i="73"/>
  <c r="B38" i="73"/>
  <c r="B39" i="73"/>
  <c r="B40" i="73"/>
  <c r="B41" i="73"/>
  <c r="B42" i="73"/>
  <c r="B43" i="73"/>
  <c r="B44" i="73"/>
  <c r="B45" i="73"/>
  <c r="B46" i="73"/>
  <c r="B47" i="73"/>
  <c r="B48" i="73"/>
  <c r="B49" i="73"/>
  <c r="B50" i="73"/>
  <c r="B51" i="73"/>
  <c r="B52" i="73"/>
  <c r="B53" i="73"/>
  <c r="B54" i="73"/>
  <c r="B55" i="73"/>
  <c r="B56" i="73"/>
  <c r="B57" i="73"/>
  <c r="B58" i="73"/>
  <c r="B59" i="73"/>
  <c r="B60" i="73"/>
  <c r="B61" i="73"/>
  <c r="B62" i="73"/>
  <c r="B63" i="73"/>
  <c r="B64" i="73"/>
  <c r="B65" i="73"/>
  <c r="B66" i="73"/>
  <c r="B67" i="73"/>
  <c r="B68" i="73"/>
  <c r="B69" i="73"/>
  <c r="B70" i="73"/>
  <c r="B71" i="73"/>
  <c r="B72" i="73"/>
  <c r="B73" i="73"/>
  <c r="B74" i="73"/>
  <c r="B75" i="73"/>
  <c r="B76" i="73"/>
  <c r="B77" i="73"/>
  <c r="B78" i="73"/>
  <c r="B79" i="73"/>
  <c r="B80" i="73"/>
  <c r="B81" i="73"/>
  <c r="B82" i="73"/>
  <c r="B83" i="73"/>
  <c r="B84" i="73"/>
  <c r="B85" i="73"/>
  <c r="B86" i="73"/>
  <c r="B87" i="73"/>
  <c r="B88" i="73"/>
  <c r="B89" i="73"/>
  <c r="B90" i="73"/>
  <c r="B91" i="73"/>
  <c r="B92" i="73"/>
  <c r="B93" i="73"/>
  <c r="B94" i="73"/>
  <c r="B95" i="73"/>
  <c r="B96" i="73"/>
  <c r="B97" i="73"/>
  <c r="B98" i="73"/>
  <c r="B99" i="73"/>
  <c r="B100" i="73"/>
  <c r="B101" i="73"/>
  <c r="B102" i="73"/>
  <c r="B103" i="73"/>
  <c r="B104" i="73"/>
  <c r="B105" i="73"/>
  <c r="B106" i="73"/>
  <c r="B107" i="73"/>
  <c r="B108" i="73"/>
  <c r="B109" i="73"/>
  <c r="B110" i="73"/>
  <c r="B111" i="73"/>
  <c r="B112" i="73"/>
  <c r="B113" i="73"/>
  <c r="B114" i="73"/>
  <c r="B115" i="73"/>
  <c r="B116" i="73"/>
  <c r="B117" i="73"/>
  <c r="B118" i="73"/>
  <c r="B119" i="73"/>
  <c r="B120" i="73"/>
  <c r="B121" i="73"/>
  <c r="B122" i="73"/>
  <c r="B123" i="73"/>
  <c r="B124" i="73"/>
  <c r="B125" i="73"/>
  <c r="B126" i="73"/>
  <c r="B127" i="73"/>
  <c r="B128" i="73"/>
  <c r="B129" i="73"/>
  <c r="B130" i="73"/>
  <c r="B131" i="73"/>
  <c r="B132" i="73"/>
  <c r="B133" i="73"/>
  <c r="B134" i="73"/>
  <c r="B135" i="73"/>
  <c r="B136" i="73"/>
  <c r="B137" i="73"/>
  <c r="B138" i="73"/>
  <c r="B139" i="73"/>
  <c r="B140" i="73"/>
  <c r="B141" i="73"/>
  <c r="B142" i="73"/>
  <c r="B143" i="73"/>
  <c r="B144" i="73"/>
  <c r="B145" i="73"/>
  <c r="B146" i="73"/>
  <c r="B147" i="73"/>
  <c r="B148" i="73"/>
  <c r="B149" i="73"/>
  <c r="B150" i="73"/>
  <c r="B151" i="73"/>
  <c r="B152" i="73"/>
  <c r="B153" i="73"/>
  <c r="B154" i="73"/>
  <c r="B155" i="73"/>
  <c r="B156" i="73"/>
  <c r="B157" i="73"/>
  <c r="B158" i="73"/>
  <c r="B159" i="73"/>
  <c r="B160" i="73"/>
  <c r="B161" i="73"/>
  <c r="B162" i="73"/>
  <c r="B163" i="73"/>
  <c r="B164" i="73"/>
  <c r="B165" i="73"/>
  <c r="B166" i="73"/>
  <c r="B167" i="73"/>
  <c r="B168" i="73"/>
  <c r="B169" i="73"/>
  <c r="B170" i="73"/>
  <c r="B171" i="73"/>
  <c r="B172" i="73"/>
  <c r="B173" i="73"/>
  <c r="B174" i="73"/>
  <c r="B175" i="73"/>
  <c r="B176" i="73"/>
  <c r="B177" i="73"/>
  <c r="B178" i="73"/>
  <c r="B179" i="73"/>
  <c r="B180" i="73"/>
  <c r="B181" i="73"/>
  <c r="B182" i="73"/>
  <c r="B183" i="73"/>
  <c r="B184" i="73"/>
  <c r="B185" i="73"/>
  <c r="B186" i="73"/>
  <c r="B8" i="73"/>
  <c r="Y61" i="73"/>
  <c r="Z61" i="73"/>
  <c r="Z60" i="73"/>
  <c r="AA60" i="73"/>
  <c r="X58" i="73"/>
  <c r="Y58" i="73"/>
  <c r="Y57" i="73"/>
  <c r="AA57" i="73"/>
  <c r="X57" i="73"/>
  <c r="Z56" i="73"/>
  <c r="X54" i="73"/>
  <c r="Y54" i="73"/>
  <c r="Z54" i="73"/>
  <c r="AA54" i="73"/>
  <c r="Y53" i="73"/>
  <c r="AA53" i="73"/>
  <c r="X53" i="73"/>
  <c r="Z53" i="73"/>
  <c r="AA52" i="73"/>
  <c r="X50" i="73"/>
  <c r="Y50" i="73"/>
  <c r="Z50" i="73"/>
  <c r="AA50" i="73"/>
  <c r="Y49" i="73"/>
  <c r="AA49" i="73"/>
  <c r="X49" i="73"/>
  <c r="Z49" i="73"/>
  <c r="AA48" i="73"/>
  <c r="X46" i="73"/>
  <c r="Y46" i="73"/>
  <c r="Z46" i="73"/>
  <c r="AA46" i="73"/>
  <c r="Y45" i="73"/>
  <c r="AA45" i="73"/>
  <c r="X45" i="73"/>
  <c r="Z45" i="73"/>
  <c r="Z43" i="73"/>
  <c r="X42" i="73"/>
  <c r="Y41" i="73"/>
  <c r="Z42" i="73"/>
  <c r="AA41" i="73"/>
  <c r="AB42" i="73"/>
  <c r="X41" i="73"/>
  <c r="Y42" i="73"/>
  <c r="Z41" i="73"/>
  <c r="AB8" i="73"/>
  <c r="X38" i="73"/>
  <c r="X34" i="73"/>
  <c r="X30" i="73"/>
  <c r="X26" i="73"/>
  <c r="X22" i="73"/>
  <c r="X18" i="73"/>
  <c r="X14" i="73"/>
  <c r="X12" i="73"/>
  <c r="X10" i="73"/>
  <c r="Y37" i="73"/>
  <c r="Y35" i="73"/>
  <c r="Y33" i="73"/>
  <c r="Y29" i="73"/>
  <c r="Y25" i="73"/>
  <c r="Y21" i="73"/>
  <c r="Y17" i="73"/>
  <c r="Y13" i="73"/>
  <c r="Y11" i="73"/>
  <c r="Y9" i="73"/>
  <c r="Z38" i="73"/>
  <c r="Z34" i="73"/>
  <c r="Z30" i="73"/>
  <c r="Z26" i="73"/>
  <c r="Z22" i="73"/>
  <c r="Z18" i="73"/>
  <c r="Z14" i="73"/>
  <c r="Z12" i="73"/>
  <c r="Z10" i="73"/>
  <c r="AA37" i="73"/>
  <c r="AA35" i="73"/>
  <c r="AA33" i="73"/>
  <c r="AA29" i="73"/>
  <c r="AA25" i="73"/>
  <c r="AA21" i="73"/>
  <c r="AA17" i="73"/>
  <c r="AA13" i="73"/>
  <c r="AA11" i="73"/>
  <c r="AA9" i="73"/>
  <c r="AB38" i="73"/>
  <c r="AB34" i="73"/>
  <c r="AB30" i="73"/>
  <c r="AB26" i="73"/>
  <c r="AB22" i="73"/>
  <c r="AB18" i="73"/>
  <c r="AB14" i="73"/>
  <c r="AB12" i="73"/>
  <c r="AB10" i="73"/>
  <c r="X39" i="73"/>
  <c r="X37" i="73"/>
  <c r="X33" i="73"/>
  <c r="X29" i="73"/>
  <c r="X25" i="73"/>
  <c r="X21" i="73"/>
  <c r="X17" i="73"/>
  <c r="X15" i="73"/>
  <c r="X13" i="73"/>
  <c r="X9" i="73"/>
  <c r="Y38" i="73"/>
  <c r="Y34" i="73"/>
  <c r="Y30" i="73"/>
  <c r="Y26" i="73"/>
  <c r="Y22" i="73"/>
  <c r="Y18" i="73"/>
  <c r="Y16" i="73"/>
  <c r="Y14" i="73"/>
  <c r="Y10" i="73"/>
  <c r="Z39" i="73"/>
  <c r="Z37" i="73"/>
  <c r="Z33" i="73"/>
  <c r="Z29" i="73"/>
  <c r="Z25" i="73"/>
  <c r="Z21" i="73"/>
  <c r="Z17" i="73"/>
  <c r="Z15" i="73"/>
  <c r="Z13" i="73"/>
  <c r="Z9" i="73"/>
  <c r="N69" i="73"/>
  <c r="N70" i="73"/>
  <c r="N71" i="73"/>
  <c r="N72" i="73"/>
  <c r="N73" i="73"/>
  <c r="N74" i="73"/>
  <c r="N75" i="73"/>
  <c r="N76" i="73"/>
  <c r="N77" i="73"/>
  <c r="N78" i="73"/>
  <c r="N79" i="73"/>
  <c r="N80" i="73"/>
  <c r="N81" i="73"/>
  <c r="N82" i="73"/>
  <c r="N83" i="73"/>
  <c r="N84" i="73"/>
  <c r="N85" i="73"/>
  <c r="N86" i="73"/>
  <c r="N87" i="73"/>
  <c r="N88" i="73"/>
  <c r="N89" i="73"/>
  <c r="N90" i="73"/>
  <c r="N91" i="73"/>
  <c r="N92" i="73"/>
  <c r="N93" i="73"/>
  <c r="N94" i="73"/>
  <c r="N95" i="73"/>
  <c r="N96" i="73"/>
  <c r="N97" i="73"/>
  <c r="N68" i="73"/>
  <c r="N23" i="73"/>
  <c r="N24" i="73"/>
  <c r="N25" i="73"/>
  <c r="N26" i="73"/>
  <c r="N27" i="73"/>
  <c r="N28" i="73"/>
  <c r="N29" i="73"/>
  <c r="N30" i="73"/>
  <c r="N31" i="73"/>
  <c r="N32" i="73"/>
  <c r="N33" i="73"/>
  <c r="N34" i="73"/>
  <c r="N35" i="73"/>
  <c r="N36" i="73"/>
  <c r="N37" i="73"/>
  <c r="N38" i="73"/>
  <c r="N39" i="73"/>
  <c r="N40" i="73"/>
  <c r="N41" i="73"/>
  <c r="N42" i="73"/>
  <c r="N43" i="73"/>
  <c r="N44" i="73"/>
  <c r="N45" i="73"/>
  <c r="N46" i="73"/>
  <c r="N47" i="73"/>
  <c r="N48" i="73"/>
  <c r="N49" i="73"/>
  <c r="N50" i="73"/>
  <c r="N51" i="73"/>
  <c r="N52" i="73"/>
  <c r="N53" i="73"/>
  <c r="N54" i="73"/>
  <c r="N55" i="73"/>
  <c r="N56" i="73"/>
  <c r="N57" i="73"/>
  <c r="N58" i="73"/>
  <c r="N59" i="73"/>
  <c r="N60" i="73"/>
  <c r="N61" i="73"/>
  <c r="N62" i="73"/>
  <c r="N63" i="73"/>
  <c r="N64" i="73"/>
  <c r="N65" i="73"/>
  <c r="N66" i="73"/>
  <c r="N67" i="73"/>
  <c r="N22" i="73"/>
  <c r="N9" i="73"/>
  <c r="N10" i="73"/>
  <c r="N11" i="73"/>
  <c r="N12" i="73"/>
  <c r="N13" i="73"/>
  <c r="N14" i="73"/>
  <c r="N15" i="73"/>
  <c r="N16" i="73"/>
  <c r="N17" i="73"/>
  <c r="N18" i="73"/>
  <c r="N19" i="73"/>
  <c r="N20" i="73"/>
  <c r="N21" i="73"/>
  <c r="N8" i="73"/>
  <c r="M23" i="73"/>
  <c r="M24" i="73"/>
  <c r="M25" i="73"/>
  <c r="M26" i="73"/>
  <c r="M27" i="73"/>
  <c r="M28" i="73"/>
  <c r="M29" i="73"/>
  <c r="M30" i="73"/>
  <c r="M31" i="73"/>
  <c r="M32" i="73"/>
  <c r="M33" i="73"/>
  <c r="M34" i="73"/>
  <c r="M35" i="73"/>
  <c r="M36" i="73"/>
  <c r="M37" i="73"/>
  <c r="M38" i="73"/>
  <c r="M39" i="73"/>
  <c r="M40" i="73"/>
  <c r="M41" i="73"/>
  <c r="M42" i="73"/>
  <c r="M43" i="73"/>
  <c r="M44" i="73"/>
  <c r="M45" i="73"/>
  <c r="M46" i="73"/>
  <c r="M47" i="73"/>
  <c r="M48" i="73"/>
  <c r="M49" i="73"/>
  <c r="M50" i="73"/>
  <c r="M51" i="73"/>
  <c r="M52" i="73"/>
  <c r="M53" i="73"/>
  <c r="M54" i="73"/>
  <c r="M55" i="73"/>
  <c r="M56" i="73"/>
  <c r="M57" i="73"/>
  <c r="M58" i="73"/>
  <c r="M59" i="73"/>
  <c r="M60" i="73"/>
  <c r="M61" i="73"/>
  <c r="M62" i="73"/>
  <c r="M63" i="73"/>
  <c r="M64" i="73"/>
  <c r="M65" i="73"/>
  <c r="M66" i="73"/>
  <c r="M67" i="73"/>
  <c r="M68" i="73"/>
  <c r="M69" i="73"/>
  <c r="M70" i="73"/>
  <c r="M71" i="73"/>
  <c r="M72" i="73"/>
  <c r="M73" i="73"/>
  <c r="M74" i="73"/>
  <c r="M75" i="73"/>
  <c r="M76" i="73"/>
  <c r="M77" i="73"/>
  <c r="M78" i="73"/>
  <c r="M79" i="73"/>
  <c r="M80" i="73"/>
  <c r="M81" i="73"/>
  <c r="M82" i="73"/>
  <c r="M83" i="73"/>
  <c r="M84" i="73"/>
  <c r="M85" i="73"/>
  <c r="M86" i="73"/>
  <c r="M87" i="73"/>
  <c r="M88" i="73"/>
  <c r="M89" i="73"/>
  <c r="M90" i="73"/>
  <c r="M91" i="73"/>
  <c r="M92" i="73"/>
  <c r="M93" i="73"/>
  <c r="M94" i="73"/>
  <c r="M95" i="73"/>
  <c r="M96" i="73"/>
  <c r="M97" i="73"/>
  <c r="M22" i="73"/>
  <c r="M9" i="73"/>
  <c r="M10" i="73"/>
  <c r="M11" i="73"/>
  <c r="M12" i="73"/>
  <c r="M13" i="73"/>
  <c r="M14" i="73"/>
  <c r="M15" i="73"/>
  <c r="M16" i="73"/>
  <c r="M17" i="73"/>
  <c r="M18" i="73"/>
  <c r="M19" i="73"/>
  <c r="M20" i="73"/>
  <c r="M21" i="73"/>
  <c r="M8" i="73"/>
  <c r="K34" i="41"/>
  <c r="K37" i="41"/>
  <c r="K36" i="41"/>
  <c r="K38" i="41"/>
  <c r="K39" i="41"/>
  <c r="K40" i="41"/>
  <c r="K41" i="41"/>
  <c r="K42" i="41"/>
  <c r="K43" i="41"/>
  <c r="K44" i="41"/>
  <c r="K45" i="41"/>
  <c r="K46" i="41"/>
  <c r="K47" i="41"/>
  <c r="K48" i="41"/>
  <c r="K49" i="41"/>
  <c r="K50" i="41"/>
  <c r="K51" i="41"/>
  <c r="K52" i="41"/>
  <c r="K53" i="41"/>
  <c r="K54" i="41"/>
  <c r="K55" i="41"/>
  <c r="K56" i="41"/>
  <c r="K57" i="41"/>
  <c r="K58" i="41"/>
  <c r="K59" i="41"/>
  <c r="K60" i="41"/>
  <c r="K61" i="41"/>
  <c r="K62" i="41"/>
  <c r="K63" i="41"/>
  <c r="K64" i="41"/>
  <c r="K65" i="41"/>
  <c r="K66" i="41"/>
  <c r="K67" i="41"/>
  <c r="K68" i="41"/>
  <c r="K69" i="41"/>
  <c r="K70" i="41"/>
  <c r="K71" i="41"/>
  <c r="K72" i="41"/>
  <c r="K73" i="41"/>
  <c r="K74" i="41"/>
  <c r="K75" i="41"/>
  <c r="K76" i="41"/>
  <c r="K77" i="41"/>
  <c r="K78" i="41"/>
  <c r="K79" i="41"/>
  <c r="K80" i="41"/>
  <c r="K81" i="41"/>
  <c r="K82" i="41"/>
  <c r="K83" i="41"/>
  <c r="K84" i="41"/>
  <c r="K85" i="41"/>
  <c r="K86" i="41"/>
  <c r="K87" i="41"/>
  <c r="H44" i="41"/>
  <c r="H45" i="41"/>
  <c r="H46" i="41"/>
  <c r="H47" i="41"/>
  <c r="H48" i="41"/>
  <c r="H49" i="41"/>
  <c r="H50" i="41"/>
  <c r="H51" i="41"/>
  <c r="H52" i="41"/>
  <c r="H53" i="41"/>
  <c r="H54" i="41"/>
  <c r="H55" i="41"/>
  <c r="H56" i="41"/>
  <c r="H57" i="41"/>
  <c r="H58" i="41"/>
  <c r="H59" i="41"/>
  <c r="H60" i="41"/>
  <c r="H61" i="41"/>
  <c r="H62" i="41"/>
  <c r="H63" i="41"/>
  <c r="H64" i="41"/>
  <c r="H65" i="41"/>
  <c r="H66" i="41"/>
  <c r="H67" i="41"/>
  <c r="H68" i="41"/>
  <c r="H69" i="41"/>
  <c r="H70" i="41"/>
  <c r="H71" i="41"/>
  <c r="H72" i="41"/>
  <c r="H73" i="41"/>
  <c r="H74" i="41"/>
  <c r="H75" i="41"/>
  <c r="H76" i="41"/>
  <c r="H77" i="41"/>
  <c r="H78" i="41"/>
  <c r="H79" i="41"/>
  <c r="H80" i="41"/>
  <c r="H81" i="41"/>
  <c r="H82" i="41"/>
  <c r="H83" i="41"/>
  <c r="H84" i="41"/>
  <c r="H85" i="41"/>
  <c r="H86" i="41"/>
  <c r="H87" i="41"/>
  <c r="G44" i="41"/>
  <c r="G45" i="41"/>
  <c r="G46" i="41"/>
  <c r="G47" i="41"/>
  <c r="G48" i="41"/>
  <c r="G49" i="41"/>
  <c r="G50" i="41"/>
  <c r="G51" i="41"/>
  <c r="G52" i="41"/>
  <c r="G53" i="41"/>
  <c r="G54" i="41"/>
  <c r="G55" i="41"/>
  <c r="G56" i="41"/>
  <c r="G57" i="41"/>
  <c r="G58" i="41"/>
  <c r="G59" i="41"/>
  <c r="G60" i="41"/>
  <c r="G61" i="41"/>
  <c r="G62" i="41"/>
  <c r="G63" i="41"/>
  <c r="G64" i="41"/>
  <c r="G65" i="41"/>
  <c r="G66" i="41"/>
  <c r="G67" i="41"/>
  <c r="G68" i="41"/>
  <c r="G69" i="41"/>
  <c r="G70" i="41"/>
  <c r="G71" i="41"/>
  <c r="G72" i="41"/>
  <c r="G73" i="41"/>
  <c r="G74" i="41"/>
  <c r="G75" i="41"/>
  <c r="G76" i="41"/>
  <c r="G77" i="41"/>
  <c r="G78" i="41"/>
  <c r="G79" i="41"/>
  <c r="G80" i="41"/>
  <c r="G81" i="41"/>
  <c r="G82" i="41"/>
  <c r="G83" i="41"/>
  <c r="G84" i="41"/>
  <c r="G85" i="41"/>
  <c r="G86" i="41"/>
  <c r="G87" i="41"/>
  <c r="F44" i="41"/>
  <c r="F45" i="41"/>
  <c r="F46" i="41"/>
  <c r="F47" i="41"/>
  <c r="F48" i="41"/>
  <c r="F49" i="41"/>
  <c r="F50" i="41"/>
  <c r="F51" i="41"/>
  <c r="F52" i="41"/>
  <c r="F53" i="41"/>
  <c r="F54" i="41"/>
  <c r="F55" i="41"/>
  <c r="F56" i="41"/>
  <c r="F57" i="41"/>
  <c r="F58" i="41"/>
  <c r="F59" i="41"/>
  <c r="F60" i="41"/>
  <c r="F61" i="41"/>
  <c r="F62" i="41"/>
  <c r="F63" i="41"/>
  <c r="F64" i="41"/>
  <c r="F65" i="41"/>
  <c r="F66" i="41"/>
  <c r="F67" i="41"/>
  <c r="F68" i="41"/>
  <c r="F69" i="41"/>
  <c r="F70" i="41"/>
  <c r="F71" i="41"/>
  <c r="F72" i="41"/>
  <c r="F73" i="41"/>
  <c r="F74" i="41"/>
  <c r="F75" i="41"/>
  <c r="F76" i="41"/>
  <c r="F77" i="41"/>
  <c r="F78" i="41"/>
  <c r="F79" i="41"/>
  <c r="F80" i="41"/>
  <c r="F81" i="41"/>
  <c r="F82" i="41"/>
  <c r="F83" i="41"/>
  <c r="F84" i="41"/>
  <c r="F85" i="41"/>
  <c r="F86" i="41"/>
  <c r="F87" i="41"/>
  <c r="E34" i="41"/>
  <c r="E35" i="41"/>
  <c r="E36" i="41"/>
  <c r="E37" i="41"/>
  <c r="E38" i="41"/>
  <c r="E39" i="41"/>
  <c r="E40" i="41"/>
  <c r="E41" i="41"/>
  <c r="E42" i="41"/>
  <c r="E43" i="41"/>
  <c r="E44" i="41"/>
  <c r="E45" i="41"/>
  <c r="E46" i="41"/>
  <c r="E47" i="41"/>
  <c r="E48" i="41"/>
  <c r="E49" i="41"/>
  <c r="E50" i="41"/>
  <c r="E51" i="41"/>
  <c r="E52" i="41"/>
  <c r="E53" i="41"/>
  <c r="E54" i="41"/>
  <c r="E55" i="41"/>
  <c r="E56" i="41"/>
  <c r="E57" i="41"/>
  <c r="E58" i="41"/>
  <c r="E59" i="41"/>
  <c r="E60" i="41"/>
  <c r="E61" i="41"/>
  <c r="E62" i="41"/>
  <c r="E63" i="41"/>
  <c r="E64" i="41"/>
  <c r="E65" i="41"/>
  <c r="E66" i="41"/>
  <c r="E67" i="41"/>
  <c r="E68" i="41"/>
  <c r="E69" i="41"/>
  <c r="E70" i="41"/>
  <c r="E71" i="41"/>
  <c r="E72" i="41"/>
  <c r="E73" i="41"/>
  <c r="E74" i="41"/>
  <c r="E75" i="41"/>
  <c r="E76" i="41"/>
  <c r="E77" i="41"/>
  <c r="E78" i="41"/>
  <c r="E79" i="41"/>
  <c r="E80" i="41"/>
  <c r="E81" i="41"/>
  <c r="E82" i="41"/>
  <c r="E83" i="41"/>
  <c r="E84" i="41"/>
  <c r="E85" i="41"/>
  <c r="E86" i="41"/>
  <c r="E87" i="41"/>
  <c r="R14" i="72"/>
  <c r="R13" i="72"/>
  <c r="R14" i="67"/>
  <c r="R13" i="67"/>
  <c r="E33" i="41"/>
  <c r="K35" i="41"/>
  <c r="D14" i="72"/>
  <c r="E14" i="72" s="1"/>
  <c r="D13" i="72"/>
  <c r="P13" i="72" s="1"/>
  <c r="C14" i="72"/>
  <c r="C13" i="72"/>
  <c r="D13" i="67"/>
  <c r="E13" i="67" s="1"/>
  <c r="C14" i="67"/>
  <c r="C13" i="67"/>
  <c r="D14" i="71"/>
  <c r="D13" i="71"/>
  <c r="C14" i="71"/>
  <c r="C13" i="71"/>
  <c r="E14" i="70"/>
  <c r="E13" i="70"/>
  <c r="D14" i="70"/>
  <c r="D13" i="70"/>
  <c r="E14" i="26"/>
  <c r="E13" i="26"/>
  <c r="D14" i="26"/>
  <c r="D13" i="26"/>
  <c r="E14" i="39"/>
  <c r="E13" i="39"/>
  <c r="D14" i="39"/>
  <c r="D13" i="39"/>
  <c r="E14" i="40"/>
  <c r="E13" i="40"/>
  <c r="D14" i="40"/>
  <c r="D13" i="40"/>
  <c r="D14" i="67"/>
  <c r="Q14" i="67" s="1"/>
  <c r="F4" i="39"/>
  <c r="E12" i="41"/>
  <c r="E11" i="41"/>
  <c r="E22" i="41"/>
  <c r="E21" i="41"/>
  <c r="E20" i="41"/>
  <c r="E17" i="41"/>
  <c r="H28" i="55"/>
  <c r="H29" i="55"/>
  <c r="H30" i="55"/>
  <c r="H31" i="55"/>
  <c r="H32" i="55"/>
  <c r="H33" i="55"/>
  <c r="H34" i="55"/>
  <c r="H35" i="55"/>
  <c r="H36" i="55"/>
  <c r="H37" i="55"/>
  <c r="H38" i="55"/>
  <c r="H39" i="55"/>
  <c r="H40" i="55"/>
  <c r="H41" i="55"/>
  <c r="H42" i="55"/>
  <c r="H43" i="55"/>
  <c r="H44" i="55"/>
  <c r="H45" i="55"/>
  <c r="H46" i="55"/>
  <c r="H47" i="55"/>
  <c r="H48" i="55"/>
  <c r="H49" i="55"/>
  <c r="H50" i="55"/>
  <c r="H51" i="55"/>
  <c r="H52" i="55"/>
  <c r="H53" i="55"/>
  <c r="H54" i="55"/>
  <c r="H55" i="55"/>
  <c r="H56" i="55"/>
  <c r="H57" i="55"/>
  <c r="H58" i="55"/>
  <c r="H59" i="55"/>
  <c r="H60" i="55"/>
  <c r="H61" i="55"/>
  <c r="H62" i="55"/>
  <c r="H63" i="55"/>
  <c r="H64" i="55"/>
  <c r="H65" i="55"/>
  <c r="H66" i="55"/>
  <c r="H67" i="55"/>
  <c r="H68" i="55"/>
  <c r="H69" i="55"/>
  <c r="H70" i="55"/>
  <c r="H71" i="55"/>
  <c r="H72" i="55"/>
  <c r="H73" i="55"/>
  <c r="H74" i="55"/>
  <c r="H75" i="55"/>
  <c r="H76" i="55"/>
  <c r="H77" i="55"/>
  <c r="H78" i="55"/>
  <c r="H79" i="55"/>
  <c r="H80" i="55"/>
  <c r="G6" i="55"/>
  <c r="F9" i="55"/>
  <c r="E7" i="55"/>
  <c r="E9" i="55"/>
  <c r="D9" i="55"/>
  <c r="E13" i="41"/>
  <c r="G5" i="55"/>
  <c r="F7" i="55"/>
  <c r="F8" i="55"/>
  <c r="F5" i="55"/>
  <c r="H27" i="55"/>
  <c r="H37" i="41" l="1"/>
  <c r="S25" i="40"/>
  <c r="C6" i="55" s="1"/>
  <c r="S20" i="40"/>
  <c r="H43" i="41"/>
  <c r="H38" i="41"/>
  <c r="H35" i="41"/>
  <c r="H34" i="41"/>
  <c r="G36" i="41"/>
  <c r="H36" i="41"/>
  <c r="S48" i="40"/>
  <c r="F39" i="41" s="1"/>
  <c r="S30" i="40"/>
  <c r="N98" i="39"/>
  <c r="P14" i="72"/>
  <c r="O14" i="72" s="1"/>
  <c r="H41" i="41"/>
  <c r="S68" i="40"/>
  <c r="S56" i="40"/>
  <c r="G37" i="41"/>
  <c r="S60" i="40"/>
  <c r="F42" i="41" s="1"/>
  <c r="D4" i="39"/>
  <c r="J14" i="71"/>
  <c r="I14" i="71" s="1"/>
  <c r="H17" i="55"/>
  <c r="J13" i="71"/>
  <c r="I13" i="71" s="1"/>
  <c r="H39" i="41"/>
  <c r="G41" i="41"/>
  <c r="N167" i="39"/>
  <c r="S32" i="40"/>
  <c r="F36" i="41" s="1"/>
  <c r="S52" i="40"/>
  <c r="F40" i="41" s="1"/>
  <c r="H40" i="41"/>
  <c r="G43" i="41"/>
  <c r="S27" i="40"/>
  <c r="F35" i="41" s="1"/>
  <c r="H42" i="41"/>
  <c r="G38" i="41"/>
  <c r="N153" i="39"/>
  <c r="G34" i="41"/>
  <c r="I14" i="70"/>
  <c r="H14" i="70" s="1"/>
  <c r="G9" i="55" s="1"/>
  <c r="I14" i="26"/>
  <c r="H14" i="26" s="1"/>
  <c r="F6" i="55" s="1"/>
  <c r="F10" i="55" s="1"/>
  <c r="I13" i="26"/>
  <c r="H13" i="26" s="1"/>
  <c r="D5" i="39"/>
  <c r="G42" i="41"/>
  <c r="G35" i="41"/>
  <c r="G40" i="41"/>
  <c r="G39" i="41"/>
  <c r="S16" i="40"/>
  <c r="C7" i="55" s="1"/>
  <c r="F41" i="41"/>
  <c r="F37" i="41"/>
  <c r="F34" i="41"/>
  <c r="F38" i="41"/>
  <c r="Q13" i="72"/>
  <c r="T14" i="40"/>
  <c r="O14" i="39"/>
  <c r="Q14" i="72"/>
  <c r="I13" i="70"/>
  <c r="H13" i="70" s="1"/>
  <c r="AB36" i="73"/>
  <c r="X56" i="73"/>
  <c r="X8" i="73"/>
  <c r="Y8" i="73"/>
  <c r="AB55" i="73"/>
  <c r="Y55" i="73"/>
  <c r="AA55" i="73"/>
  <c r="AB51" i="73"/>
  <c r="Y51" i="73"/>
  <c r="AA51" i="73"/>
  <c r="AB47" i="73"/>
  <c r="Y47" i="73"/>
  <c r="AA47" i="73"/>
  <c r="AB39" i="73"/>
  <c r="Y39" i="73"/>
  <c r="AA39" i="73"/>
  <c r="AB35" i="73"/>
  <c r="X35" i="73"/>
  <c r="Z35" i="73"/>
  <c r="AB31" i="73"/>
  <c r="Y31" i="73"/>
  <c r="AA31" i="73"/>
  <c r="AB27" i="73"/>
  <c r="X27" i="73"/>
  <c r="Z27" i="73"/>
  <c r="AB23" i="73"/>
  <c r="Y23" i="73"/>
  <c r="AA23" i="73"/>
  <c r="AB19" i="73"/>
  <c r="X19" i="73"/>
  <c r="Z19" i="73"/>
  <c r="AB15" i="73"/>
  <c r="Y15" i="73"/>
  <c r="AA15" i="73"/>
  <c r="AB11" i="73"/>
  <c r="X11" i="73"/>
  <c r="Z11" i="73"/>
  <c r="G7" i="55"/>
  <c r="D7" i="55"/>
  <c r="AB52" i="73"/>
  <c r="X52" i="73"/>
  <c r="Y52" i="73"/>
  <c r="AA44" i="73"/>
  <c r="X44" i="73"/>
  <c r="AB44" i="73"/>
  <c r="AA40" i="73"/>
  <c r="Z40" i="73"/>
  <c r="AB40" i="73"/>
  <c r="AA32" i="73"/>
  <c r="Z32" i="73"/>
  <c r="AB32" i="73"/>
  <c r="AA28" i="73"/>
  <c r="Y28" i="73"/>
  <c r="AA20" i="73"/>
  <c r="Y20" i="73"/>
  <c r="AA16" i="73"/>
  <c r="Z16" i="73"/>
  <c r="AB16" i="73"/>
  <c r="E14" i="67"/>
  <c r="L25" i="41" s="1"/>
  <c r="O13" i="39"/>
  <c r="M13" i="39" s="1"/>
  <c r="Z31" i="73"/>
  <c r="Y32" i="73"/>
  <c r="X31" i="73"/>
  <c r="AA8" i="73"/>
  <c r="AB28" i="73"/>
  <c r="AA27" i="73"/>
  <c r="Z28" i="73"/>
  <c r="Y27" i="73"/>
  <c r="Z47" i="73"/>
  <c r="Z51" i="73"/>
  <c r="Z55" i="73"/>
  <c r="Z58" i="73"/>
  <c r="AA58" i="73"/>
  <c r="AB48" i="73"/>
  <c r="X48" i="73"/>
  <c r="Y48" i="73"/>
  <c r="AA36" i="73"/>
  <c r="Y36" i="73"/>
  <c r="AA24" i="73"/>
  <c r="Z24" i="73"/>
  <c r="AB24" i="73"/>
  <c r="AA12" i="73"/>
  <c r="Y12" i="73"/>
  <c r="E8" i="55"/>
  <c r="D8" i="55"/>
  <c r="E13" i="72"/>
  <c r="Z23" i="73"/>
  <c r="Y24" i="73"/>
  <c r="X23" i="73"/>
  <c r="AB20" i="73"/>
  <c r="AA19" i="73"/>
  <c r="Z20" i="73"/>
  <c r="Y19" i="73"/>
  <c r="X47" i="73"/>
  <c r="X51" i="73"/>
  <c r="X55" i="73"/>
  <c r="Z57" i="73"/>
  <c r="AB61" i="73"/>
  <c r="X61" i="73"/>
  <c r="X60" i="73"/>
  <c r="Y60" i="73"/>
  <c r="Z59" i="73"/>
  <c r="Y59" i="73"/>
  <c r="AA59" i="73"/>
  <c r="X59" i="73"/>
  <c r="AA56" i="73"/>
  <c r="Y56" i="73"/>
  <c r="Y44" i="73"/>
  <c r="Z44" i="73"/>
  <c r="X43" i="73"/>
  <c r="AA43" i="73"/>
  <c r="Y43" i="73"/>
  <c r="X16" i="73"/>
  <c r="X20" i="73"/>
  <c r="X24" i="73"/>
  <c r="X28" i="73"/>
  <c r="X32" i="73"/>
  <c r="X36" i="73"/>
  <c r="X40" i="73"/>
  <c r="Z8" i="73"/>
  <c r="P13" i="67"/>
  <c r="Q13" i="67"/>
  <c r="P14" i="67"/>
  <c r="T13" i="40"/>
  <c r="E17" i="55" l="1"/>
  <c r="E4" i="39"/>
  <c r="C9" i="55"/>
  <c r="I9" i="55" s="1"/>
  <c r="C4" i="71"/>
  <c r="F43" i="41"/>
  <c r="C17" i="55" s="1"/>
  <c r="C8" i="55"/>
  <c r="I8" i="55" s="1"/>
  <c r="D17" i="55"/>
  <c r="G10" i="55"/>
  <c r="C4" i="70"/>
  <c r="J51" i="41" s="1"/>
  <c r="C4" i="26"/>
  <c r="I66" i="41" s="1"/>
  <c r="L14" i="39"/>
  <c r="D6" i="55" s="1"/>
  <c r="F6" i="39"/>
  <c r="F8" i="39" s="1"/>
  <c r="M14" i="39"/>
  <c r="G14" i="40"/>
  <c r="H14" i="40" s="1"/>
  <c r="J14" i="40"/>
  <c r="K14" i="40" s="1"/>
  <c r="M14" i="40"/>
  <c r="N14" i="40" s="1"/>
  <c r="R14" i="40"/>
  <c r="P14" i="40"/>
  <c r="Q14" i="40" s="1"/>
  <c r="O13" i="72"/>
  <c r="L13" i="72" s="1"/>
  <c r="J25" i="41"/>
  <c r="L26" i="41"/>
  <c r="L13" i="39"/>
  <c r="N13" i="39" s="1"/>
  <c r="I7" i="55"/>
  <c r="L27" i="41"/>
  <c r="J27" i="41"/>
  <c r="O14" i="67"/>
  <c r="M14" i="67" s="1"/>
  <c r="E7" i="40"/>
  <c r="R13" i="40"/>
  <c r="E6" i="40"/>
  <c r="N13" i="40"/>
  <c r="H13" i="40"/>
  <c r="M13" i="40"/>
  <c r="G13" i="40"/>
  <c r="E5" i="40"/>
  <c r="Q13" i="40"/>
  <c r="J13" i="40"/>
  <c r="E8" i="40"/>
  <c r="K13" i="40"/>
  <c r="P13" i="40"/>
  <c r="S13" i="40"/>
  <c r="L14" i="72"/>
  <c r="M14" i="72"/>
  <c r="O13" i="67"/>
  <c r="L24" i="41" l="1"/>
  <c r="D56" i="55"/>
  <c r="C32" i="55"/>
  <c r="G70" i="55"/>
  <c r="G37" i="55"/>
  <c r="E43" i="55"/>
  <c r="I56" i="41"/>
  <c r="I69" i="41"/>
  <c r="E39" i="55"/>
  <c r="D65" i="55"/>
  <c r="G33" i="41"/>
  <c r="D18" i="55" s="1"/>
  <c r="D19" i="55" s="1"/>
  <c r="I51" i="41"/>
  <c r="I81" i="41"/>
  <c r="L14" i="67"/>
  <c r="N14" i="67" s="1"/>
  <c r="J24" i="41" s="1"/>
  <c r="F55" i="55"/>
  <c r="G80" i="55"/>
  <c r="M13" i="72"/>
  <c r="C6" i="72" s="1"/>
  <c r="I73" i="41"/>
  <c r="L73" i="41" s="1"/>
  <c r="I55" i="41"/>
  <c r="F73" i="55"/>
  <c r="G31" i="55"/>
  <c r="E75" i="55"/>
  <c r="E34" i="55"/>
  <c r="E63" i="55"/>
  <c r="G45" i="55"/>
  <c r="J75" i="41"/>
  <c r="I35" i="41"/>
  <c r="I83" i="41"/>
  <c r="I47" i="41"/>
  <c r="I46" i="41"/>
  <c r="I85" i="41"/>
  <c r="D32" i="55"/>
  <c r="I80" i="41"/>
  <c r="I34" i="41"/>
  <c r="J72" i="41"/>
  <c r="D66" i="55"/>
  <c r="G40" i="55"/>
  <c r="C45" i="55"/>
  <c r="C54" i="55"/>
  <c r="E60" i="55"/>
  <c r="G59" i="55"/>
  <c r="G53" i="55"/>
  <c r="J33" i="41"/>
  <c r="G27" i="55"/>
  <c r="D55" i="55"/>
  <c r="I65" i="41"/>
  <c r="D33" i="55"/>
  <c r="I57" i="41"/>
  <c r="I43" i="41"/>
  <c r="I58" i="41"/>
  <c r="I49" i="41"/>
  <c r="I76" i="41"/>
  <c r="J55" i="41"/>
  <c r="E77" i="55"/>
  <c r="E33" i="55"/>
  <c r="E49" i="55"/>
  <c r="C28" i="55"/>
  <c r="G60" i="55"/>
  <c r="F48" i="55"/>
  <c r="J42" i="41"/>
  <c r="J61" i="41"/>
  <c r="G43" i="55"/>
  <c r="I86" i="41"/>
  <c r="I79" i="41"/>
  <c r="I62" i="41"/>
  <c r="I64" i="41"/>
  <c r="I42" i="41"/>
  <c r="I59" i="41"/>
  <c r="J73" i="41"/>
  <c r="D73" i="55"/>
  <c r="C31" i="55"/>
  <c r="G58" i="55"/>
  <c r="C38" i="55"/>
  <c r="E67" i="55"/>
  <c r="G65" i="55"/>
  <c r="E61" i="55"/>
  <c r="G47" i="55"/>
  <c r="C74" i="55"/>
  <c r="J60" i="41"/>
  <c r="F47" i="55"/>
  <c r="F62" i="55"/>
  <c r="C70" i="55"/>
  <c r="F49" i="55"/>
  <c r="J79" i="41"/>
  <c r="L79" i="41" s="1"/>
  <c r="C72" i="55"/>
  <c r="F77" i="55"/>
  <c r="J69" i="41"/>
  <c r="G50" i="55"/>
  <c r="J68" i="41"/>
  <c r="F65" i="55"/>
  <c r="E44" i="55"/>
  <c r="F74" i="55"/>
  <c r="J64" i="41"/>
  <c r="J70" i="41"/>
  <c r="E51" i="55"/>
  <c r="C71" i="55"/>
  <c r="E55" i="55"/>
  <c r="G46" i="55"/>
  <c r="G57" i="55"/>
  <c r="G78" i="55"/>
  <c r="F56" i="55"/>
  <c r="F42" i="55"/>
  <c r="D29" i="55"/>
  <c r="D40" i="55"/>
  <c r="J84" i="41"/>
  <c r="E56" i="55"/>
  <c r="F32" i="55"/>
  <c r="E47" i="55"/>
  <c r="G32" i="55"/>
  <c r="D62" i="55"/>
  <c r="G49" i="55"/>
  <c r="F67" i="55"/>
  <c r="J50" i="41"/>
  <c r="J43" i="41"/>
  <c r="J82" i="41"/>
  <c r="J86" i="41"/>
  <c r="J56" i="41"/>
  <c r="J63" i="41"/>
  <c r="J81" i="41"/>
  <c r="C29" i="55"/>
  <c r="D37" i="55"/>
  <c r="F59" i="55"/>
  <c r="D74" i="55"/>
  <c r="C69" i="55"/>
  <c r="E65" i="55"/>
  <c r="G71" i="55"/>
  <c r="G52" i="55"/>
  <c r="E27" i="55"/>
  <c r="C68" i="55"/>
  <c r="C35" i="55"/>
  <c r="G69" i="55"/>
  <c r="G77" i="55"/>
  <c r="J59" i="41"/>
  <c r="F35" i="55"/>
  <c r="D67" i="55"/>
  <c r="G63" i="55"/>
  <c r="J76" i="41"/>
  <c r="J53" i="41"/>
  <c r="J83" i="41"/>
  <c r="D54" i="55"/>
  <c r="E35" i="55"/>
  <c r="D35" i="55"/>
  <c r="F53" i="55"/>
  <c r="J41" i="41"/>
  <c r="F39" i="55"/>
  <c r="F54" i="55"/>
  <c r="F27" i="55"/>
  <c r="C27" i="55"/>
  <c r="G26" i="55"/>
  <c r="G38" i="55"/>
  <c r="F26" i="55"/>
  <c r="G39" i="55"/>
  <c r="E62" i="55"/>
  <c r="E40" i="55"/>
  <c r="C47" i="55"/>
  <c r="G64" i="55"/>
  <c r="G79" i="55"/>
  <c r="C76" i="55"/>
  <c r="E78" i="55"/>
  <c r="E74" i="55"/>
  <c r="E59" i="55"/>
  <c r="C36" i="55"/>
  <c r="C57" i="55"/>
  <c r="G44" i="55"/>
  <c r="J37" i="41"/>
  <c r="D28" i="55"/>
  <c r="D72" i="55"/>
  <c r="E71" i="55"/>
  <c r="C75" i="55"/>
  <c r="G56" i="55"/>
  <c r="F40" i="55"/>
  <c r="J39" i="41"/>
  <c r="J78" i="41"/>
  <c r="J87" i="41"/>
  <c r="D30" i="55"/>
  <c r="F30" i="55"/>
  <c r="G48" i="55"/>
  <c r="G35" i="55"/>
  <c r="E73" i="55"/>
  <c r="J36" i="41"/>
  <c r="J47" i="41"/>
  <c r="L47" i="41" s="1"/>
  <c r="J62" i="41"/>
  <c r="F69" i="55"/>
  <c r="D42" i="55"/>
  <c r="C58" i="55"/>
  <c r="C30" i="55"/>
  <c r="G34" i="55"/>
  <c r="D64" i="55"/>
  <c r="G51" i="55"/>
  <c r="J71" i="41"/>
  <c r="J57" i="41"/>
  <c r="J48" i="41"/>
  <c r="J67" i="41"/>
  <c r="J35" i="41"/>
  <c r="J66" i="41"/>
  <c r="L66" i="41" s="1"/>
  <c r="J49" i="41"/>
  <c r="C41" i="55"/>
  <c r="C66" i="55"/>
  <c r="G67" i="55"/>
  <c r="C61" i="55"/>
  <c r="C56" i="55"/>
  <c r="J34" i="41"/>
  <c r="L34" i="41" s="1"/>
  <c r="D39" i="55"/>
  <c r="D45" i="55"/>
  <c r="F34" i="55"/>
  <c r="E52" i="55"/>
  <c r="C64" i="55"/>
  <c r="J44" i="41"/>
  <c r="J85" i="41"/>
  <c r="J46" i="41"/>
  <c r="L46" i="41" s="1"/>
  <c r="J45" i="41"/>
  <c r="F66" i="55"/>
  <c r="F63" i="55"/>
  <c r="D75" i="55"/>
  <c r="F41" i="55"/>
  <c r="F75" i="55"/>
  <c r="J52" i="41"/>
  <c r="J77" i="41"/>
  <c r="J74" i="41"/>
  <c r="F33" i="55"/>
  <c r="D36" i="55"/>
  <c r="D52" i="55"/>
  <c r="G76" i="55"/>
  <c r="E50" i="55"/>
  <c r="E48" i="55"/>
  <c r="C33" i="55"/>
  <c r="D79" i="55"/>
  <c r="D50" i="55"/>
  <c r="D21" i="41"/>
  <c r="J54" i="41"/>
  <c r="J80" i="41"/>
  <c r="J58" i="41"/>
  <c r="L58" i="41" s="1"/>
  <c r="J65" i="41"/>
  <c r="J40" i="41"/>
  <c r="J38" i="41"/>
  <c r="L51" i="41"/>
  <c r="E32" i="55"/>
  <c r="D38" i="55"/>
  <c r="C63" i="55"/>
  <c r="F43" i="55"/>
  <c r="G66" i="55"/>
  <c r="E46" i="55"/>
  <c r="D69" i="55"/>
  <c r="E26" i="55"/>
  <c r="C40" i="55"/>
  <c r="C60" i="55"/>
  <c r="E53" i="55"/>
  <c r="G28" i="55"/>
  <c r="C65" i="55"/>
  <c r="C48" i="55"/>
  <c r="C78" i="55"/>
  <c r="C50" i="55"/>
  <c r="C42" i="55"/>
  <c r="E66" i="55"/>
  <c r="C55" i="55"/>
  <c r="E70" i="55"/>
  <c r="C37" i="55"/>
  <c r="C73" i="55"/>
  <c r="C52" i="55"/>
  <c r="G75" i="55"/>
  <c r="C39" i="55"/>
  <c r="C59" i="55"/>
  <c r="C53" i="55"/>
  <c r="G41" i="55"/>
  <c r="E31" i="55"/>
  <c r="D60" i="55"/>
  <c r="F51" i="55"/>
  <c r="C44" i="55"/>
  <c r="D70" i="55"/>
  <c r="C67" i="55"/>
  <c r="F46" i="55"/>
  <c r="F37" i="55"/>
  <c r="G33" i="55"/>
  <c r="F76" i="55"/>
  <c r="D49" i="55"/>
  <c r="E64" i="55"/>
  <c r="D27" i="55"/>
  <c r="D59" i="55"/>
  <c r="G55" i="55"/>
  <c r="F29" i="55"/>
  <c r="E28" i="55"/>
  <c r="G36" i="55"/>
  <c r="E45" i="55"/>
  <c r="D53" i="55"/>
  <c r="F38" i="55"/>
  <c r="C62" i="55"/>
  <c r="G73" i="55"/>
  <c r="I63" i="41"/>
  <c r="C49" i="55"/>
  <c r="F80" i="55"/>
  <c r="I72" i="41"/>
  <c r="E36" i="55"/>
  <c r="E58" i="55"/>
  <c r="I68" i="41"/>
  <c r="I41" i="41"/>
  <c r="F71" i="55"/>
  <c r="D51" i="55"/>
  <c r="C77" i="55"/>
  <c r="D34" i="55"/>
  <c r="D20" i="41"/>
  <c r="F70" i="55"/>
  <c r="I71" i="41"/>
  <c r="I53" i="41"/>
  <c r="F36" i="55"/>
  <c r="F28" i="55"/>
  <c r="D48" i="55"/>
  <c r="I54" i="41"/>
  <c r="F50" i="55"/>
  <c r="D63" i="55"/>
  <c r="G54" i="55"/>
  <c r="E38" i="55"/>
  <c r="I61" i="41"/>
  <c r="D47" i="55"/>
  <c r="E30" i="55"/>
  <c r="G29" i="55"/>
  <c r="C51" i="55"/>
  <c r="C79" i="55"/>
  <c r="G72" i="55"/>
  <c r="E79" i="55"/>
  <c r="E37" i="55"/>
  <c r="F61" i="55"/>
  <c r="F52" i="55"/>
  <c r="F31" i="55"/>
  <c r="C43" i="55"/>
  <c r="E80" i="55"/>
  <c r="F60" i="55"/>
  <c r="C80" i="55"/>
  <c r="D80" i="55"/>
  <c r="D71" i="55"/>
  <c r="D41" i="55"/>
  <c r="F79" i="55"/>
  <c r="F45" i="55"/>
  <c r="E54" i="55"/>
  <c r="D61" i="55"/>
  <c r="E57" i="55"/>
  <c r="E69" i="55"/>
  <c r="F72" i="55"/>
  <c r="G42" i="55"/>
  <c r="F57" i="55"/>
  <c r="I67" i="41"/>
  <c r="C46" i="55"/>
  <c r="I52" i="41"/>
  <c r="E68" i="55"/>
  <c r="G74" i="55"/>
  <c r="I40" i="41"/>
  <c r="E29" i="55"/>
  <c r="F44" i="55"/>
  <c r="I36" i="41"/>
  <c r="I78" i="41"/>
  <c r="F58" i="55"/>
  <c r="D44" i="55"/>
  <c r="C34" i="55"/>
  <c r="I75" i="41"/>
  <c r="L75" i="41" s="1"/>
  <c r="D58" i="55"/>
  <c r="G61" i="55"/>
  <c r="I39" i="41"/>
  <c r="I74" i="41"/>
  <c r="D46" i="55"/>
  <c r="E76" i="55"/>
  <c r="I84" i="41"/>
  <c r="I38" i="41"/>
  <c r="D78" i="55"/>
  <c r="I33" i="41"/>
  <c r="F68" i="55"/>
  <c r="I87" i="41"/>
  <c r="I45" i="41"/>
  <c r="D77" i="55"/>
  <c r="E41" i="55"/>
  <c r="I77" i="41"/>
  <c r="I50" i="41"/>
  <c r="F78" i="55"/>
  <c r="D43" i="55"/>
  <c r="I60" i="41"/>
  <c r="I37" i="41"/>
  <c r="D31" i="55"/>
  <c r="E42" i="55"/>
  <c r="G30" i="55"/>
  <c r="F64" i="55"/>
  <c r="I70" i="41"/>
  <c r="D57" i="55"/>
  <c r="E72" i="55"/>
  <c r="G62" i="55"/>
  <c r="I48" i="41"/>
  <c r="G68" i="55"/>
  <c r="D68" i="55"/>
  <c r="I44" i="41"/>
  <c r="I82" i="41"/>
  <c r="D76" i="55"/>
  <c r="E5" i="55"/>
  <c r="D7" i="39"/>
  <c r="D5" i="55"/>
  <c r="D10" i="55" s="1"/>
  <c r="D6" i="39"/>
  <c r="D9" i="39"/>
  <c r="D19" i="41" s="1"/>
  <c r="H33" i="41"/>
  <c r="E18" i="55" s="1"/>
  <c r="E19" i="55" s="1"/>
  <c r="E6" i="55"/>
  <c r="D8" i="39"/>
  <c r="D18" i="41" s="1"/>
  <c r="N14" i="39"/>
  <c r="D26" i="55" s="1"/>
  <c r="S14" i="40"/>
  <c r="D8" i="40"/>
  <c r="D5" i="40"/>
  <c r="D6" i="40"/>
  <c r="D7" i="40"/>
  <c r="E9" i="40"/>
  <c r="L13" i="67"/>
  <c r="M13" i="67"/>
  <c r="C6" i="67" s="1"/>
  <c r="N14" i="72"/>
  <c r="C4" i="72"/>
  <c r="L65" i="41" l="1"/>
  <c r="K33" i="41"/>
  <c r="H18" i="55" s="1"/>
  <c r="H19" i="55" s="1"/>
  <c r="H26" i="55"/>
  <c r="H81" i="55" s="1"/>
  <c r="J26" i="41"/>
  <c r="D24" i="41" s="1"/>
  <c r="L56" i="41"/>
  <c r="L55" i="41"/>
  <c r="L57" i="41"/>
  <c r="L83" i="41"/>
  <c r="L69" i="41"/>
  <c r="L70" i="41"/>
  <c r="I60" i="55"/>
  <c r="L68" i="41"/>
  <c r="L37" i="41"/>
  <c r="L81" i="41"/>
  <c r="L61" i="41"/>
  <c r="L76" i="41"/>
  <c r="L59" i="41"/>
  <c r="N13" i="72"/>
  <c r="L80" i="41"/>
  <c r="L62" i="41"/>
  <c r="L43" i="41"/>
  <c r="L42" i="41"/>
  <c r="L82" i="41"/>
  <c r="L72" i="41"/>
  <c r="L35" i="41"/>
  <c r="L85" i="41"/>
  <c r="C8" i="72"/>
  <c r="L49" i="41"/>
  <c r="L86" i="41"/>
  <c r="L64" i="41"/>
  <c r="E6" i="39"/>
  <c r="L78" i="41"/>
  <c r="L60" i="41"/>
  <c r="L38" i="41"/>
  <c r="L74" i="41"/>
  <c r="I65" i="55"/>
  <c r="I32" i="55"/>
  <c r="L84" i="41"/>
  <c r="I67" i="55"/>
  <c r="L44" i="41"/>
  <c r="I75" i="55"/>
  <c r="I47" i="55"/>
  <c r="I27" i="55"/>
  <c r="I39" i="55"/>
  <c r="L48" i="41"/>
  <c r="L41" i="41"/>
  <c r="L54" i="41"/>
  <c r="L53" i="41"/>
  <c r="I73" i="55"/>
  <c r="I35" i="55"/>
  <c r="G17" i="55"/>
  <c r="L77" i="41"/>
  <c r="L87" i="41"/>
  <c r="L40" i="41"/>
  <c r="I33" i="55"/>
  <c r="I40" i="55"/>
  <c r="I56" i="55"/>
  <c r="L45" i="41"/>
  <c r="L67" i="41"/>
  <c r="L63" i="41"/>
  <c r="G18" i="55"/>
  <c r="L36" i="41"/>
  <c r="L39" i="41"/>
  <c r="I74" i="55"/>
  <c r="I52" i="55"/>
  <c r="I62" i="55"/>
  <c r="L50" i="41"/>
  <c r="L52" i="41"/>
  <c r="L71" i="41"/>
  <c r="I48" i="55"/>
  <c r="I49" i="55"/>
  <c r="I59" i="55"/>
  <c r="I55" i="55"/>
  <c r="I69" i="55"/>
  <c r="I64" i="55"/>
  <c r="I50" i="55"/>
  <c r="I44" i="55"/>
  <c r="I79" i="55"/>
  <c r="I63" i="55"/>
  <c r="I38" i="55"/>
  <c r="I37" i="55"/>
  <c r="I66" i="55"/>
  <c r="I70" i="55"/>
  <c r="I58" i="55"/>
  <c r="I76" i="55"/>
  <c r="I57" i="55"/>
  <c r="I42" i="55"/>
  <c r="I41" i="55"/>
  <c r="I34" i="55"/>
  <c r="I45" i="55"/>
  <c r="I80" i="55"/>
  <c r="I51" i="55"/>
  <c r="I36" i="55"/>
  <c r="I53" i="55"/>
  <c r="I29" i="55"/>
  <c r="I28" i="55"/>
  <c r="I78" i="55"/>
  <c r="I61" i="55"/>
  <c r="I77" i="55"/>
  <c r="F18" i="55"/>
  <c r="I43" i="55"/>
  <c r="I72" i="55"/>
  <c r="I30" i="55"/>
  <c r="I46" i="55"/>
  <c r="I54" i="55"/>
  <c r="I71" i="55"/>
  <c r="G81" i="55"/>
  <c r="F17" i="55"/>
  <c r="I31" i="55"/>
  <c r="F81" i="55"/>
  <c r="D81" i="55"/>
  <c r="E81" i="55"/>
  <c r="I68" i="55"/>
  <c r="E10" i="55"/>
  <c r="I6" i="55"/>
  <c r="E8" i="39"/>
  <c r="F33" i="41"/>
  <c r="C5" i="55"/>
  <c r="C26" i="55"/>
  <c r="D9" i="40"/>
  <c r="D17" i="41" s="1"/>
  <c r="D22" i="41" s="1"/>
  <c r="N13" i="67"/>
  <c r="C4" i="67"/>
  <c r="C8" i="67" s="1"/>
  <c r="D29" i="41" l="1"/>
  <c r="H10" i="55"/>
  <c r="G19" i="55"/>
  <c r="I17" i="55"/>
  <c r="F19" i="55"/>
  <c r="C81" i="55"/>
  <c r="I81" i="55" s="1"/>
  <c r="I26" i="55"/>
  <c r="I5" i="55"/>
  <c r="C10" i="55"/>
  <c r="C18" i="55"/>
  <c r="L33" i="41"/>
  <c r="I10" i="55" l="1"/>
  <c r="C19" i="55"/>
  <c r="I19" i="55" s="1"/>
  <c r="I18" i="55"/>
</calcChain>
</file>

<file path=xl/sharedStrings.xml><?xml version="1.0" encoding="utf-8"?>
<sst xmlns="http://schemas.openxmlformats.org/spreadsheetml/2006/main" count="2307" uniqueCount="480">
  <si>
    <t>Country</t>
  </si>
  <si>
    <t xml:space="preserve">Before completing this table please read carefully the instructions available on </t>
  </si>
  <si>
    <t>Total</t>
  </si>
  <si>
    <t>Action</t>
  </si>
  <si>
    <t>Austria</t>
  </si>
  <si>
    <t>Belgium</t>
  </si>
  <si>
    <t>Cyprus</t>
  </si>
  <si>
    <t>Bulgaria</t>
  </si>
  <si>
    <t>Afghanistan</t>
  </si>
  <si>
    <t>P1</t>
  </si>
  <si>
    <t>P2</t>
  </si>
  <si>
    <t>P3</t>
  </si>
  <si>
    <t>P4</t>
  </si>
  <si>
    <t>P5</t>
  </si>
  <si>
    <t>P6</t>
  </si>
  <si>
    <t>P7</t>
  </si>
  <si>
    <t>P8</t>
  </si>
  <si>
    <t>P9</t>
  </si>
  <si>
    <t>P10</t>
  </si>
  <si>
    <t>P11</t>
  </si>
  <si>
    <t>P12</t>
  </si>
  <si>
    <t>P14</t>
  </si>
  <si>
    <t>P15</t>
  </si>
  <si>
    <t>P16</t>
  </si>
  <si>
    <t>P17</t>
  </si>
  <si>
    <t>P18</t>
  </si>
  <si>
    <t>P19</t>
  </si>
  <si>
    <t>P20</t>
  </si>
  <si>
    <t>Distance</t>
  </si>
  <si>
    <t>Denmark</t>
  </si>
  <si>
    <t>Ireland</t>
  </si>
  <si>
    <t>Liechtenstein</t>
  </si>
  <si>
    <t>Netherlands</t>
  </si>
  <si>
    <t>Norway</t>
  </si>
  <si>
    <t>Sweden</t>
  </si>
  <si>
    <t>Finland</t>
  </si>
  <si>
    <t>France</t>
  </si>
  <si>
    <t>Germany</t>
  </si>
  <si>
    <t>Iceland</t>
  </si>
  <si>
    <t>Italy</t>
  </si>
  <si>
    <t>United Kingdom</t>
  </si>
  <si>
    <t>Czech Republic</t>
  </si>
  <si>
    <t>Greece</t>
  </si>
  <si>
    <t>Malta</t>
  </si>
  <si>
    <t>Portugal</t>
  </si>
  <si>
    <t>Slovenia</t>
  </si>
  <si>
    <t>Spain</t>
  </si>
  <si>
    <t>Croatia</t>
  </si>
  <si>
    <t>Estonia</t>
  </si>
  <si>
    <t>Hungary</t>
  </si>
  <si>
    <t>Latvia</t>
  </si>
  <si>
    <t>Lithuania</t>
  </si>
  <si>
    <t>Poland</t>
  </si>
  <si>
    <t>Romania</t>
  </si>
  <si>
    <t>Turkey</t>
  </si>
  <si>
    <t>Israel</t>
  </si>
  <si>
    <t>Albania</t>
  </si>
  <si>
    <t>Algeria</t>
  </si>
  <si>
    <t>Argentina</t>
  </si>
  <si>
    <t>Armenia</t>
  </si>
  <si>
    <t>Azerbaijan</t>
  </si>
  <si>
    <t>Bangladesh</t>
  </si>
  <si>
    <t>Chile</t>
  </si>
  <si>
    <t>Belarus</t>
  </si>
  <si>
    <t>Bhutan</t>
  </si>
  <si>
    <t>Bolivia</t>
  </si>
  <si>
    <t>Bosnia and Herzegovina</t>
  </si>
  <si>
    <t>Brazil</t>
  </si>
  <si>
    <t>Cambodia</t>
  </si>
  <si>
    <t>China</t>
  </si>
  <si>
    <t>Colombia</t>
  </si>
  <si>
    <t>Costa Rica</t>
  </si>
  <si>
    <t>Cuba</t>
  </si>
  <si>
    <t>Ecuador</t>
  </si>
  <si>
    <t>Egypt</t>
  </si>
  <si>
    <t>Georgia</t>
  </si>
  <si>
    <t>Guatemala</t>
  </si>
  <si>
    <t>Honduras</t>
  </si>
  <si>
    <t>India</t>
  </si>
  <si>
    <t>Indonesia</t>
  </si>
  <si>
    <t>Iran</t>
  </si>
  <si>
    <t>Iraq</t>
  </si>
  <si>
    <t>Jordan</t>
  </si>
  <si>
    <t>Kyrgyzstan</t>
  </si>
  <si>
    <t>Laos</t>
  </si>
  <si>
    <t>Lebanon</t>
  </si>
  <si>
    <t>Libya</t>
  </si>
  <si>
    <t>Malaysia</t>
  </si>
  <si>
    <t>Maldives</t>
  </si>
  <si>
    <t>Mexico</t>
  </si>
  <si>
    <t>Moldova</t>
  </si>
  <si>
    <t>Mongolia</t>
  </si>
  <si>
    <t>Montenegro</t>
  </si>
  <si>
    <t>Morocco</t>
  </si>
  <si>
    <t>Nepal</t>
  </si>
  <si>
    <t>Nicaragua</t>
  </si>
  <si>
    <t>Pakistan</t>
  </si>
  <si>
    <t>Panama</t>
  </si>
  <si>
    <t>Paraguay</t>
  </si>
  <si>
    <t>Philippines</t>
  </si>
  <si>
    <t>Serbia</t>
  </si>
  <si>
    <t>South Africa</t>
  </si>
  <si>
    <t>Syria</t>
  </si>
  <si>
    <t>Tajikistan</t>
  </si>
  <si>
    <t>Thailand</t>
  </si>
  <si>
    <t>Tunisia</t>
  </si>
  <si>
    <t>Turkmenistan</t>
  </si>
  <si>
    <t>Uruguay</t>
  </si>
  <si>
    <t>Uzbekistan</t>
  </si>
  <si>
    <t>Venezuela</t>
  </si>
  <si>
    <t>Vietnam</t>
  </si>
  <si>
    <t>Yemen</t>
  </si>
  <si>
    <t>P21</t>
  </si>
  <si>
    <t>P22</t>
  </si>
  <si>
    <t>P23</t>
  </si>
  <si>
    <t>P24</t>
  </si>
  <si>
    <t>P25</t>
  </si>
  <si>
    <t>P26</t>
  </si>
  <si>
    <t>P27</t>
  </si>
  <si>
    <t>P28</t>
  </si>
  <si>
    <t>P29</t>
  </si>
  <si>
    <t>P30</t>
  </si>
  <si>
    <t>P31</t>
  </si>
  <si>
    <t>P32</t>
  </si>
  <si>
    <t>P33</t>
  </si>
  <si>
    <t>P34</t>
  </si>
  <si>
    <t>P35</t>
  </si>
  <si>
    <t>P36</t>
  </si>
  <si>
    <t>P37</t>
  </si>
  <si>
    <t>P38</t>
  </si>
  <si>
    <t>P39</t>
  </si>
  <si>
    <t>P40</t>
  </si>
  <si>
    <t>TOTAL</t>
  </si>
  <si>
    <t>Teacher/Trainer/Researcher</t>
  </si>
  <si>
    <t>Programme guide and instructions for applicants</t>
  </si>
  <si>
    <t>Manager</t>
  </si>
  <si>
    <t>Nature, type and specifications of the item</t>
  </si>
  <si>
    <t>Key Action 2: Cooperation for innovation and the exchange of good practices</t>
  </si>
  <si>
    <t>Luxembourg</t>
  </si>
  <si>
    <t>Peru</t>
  </si>
  <si>
    <t>Duration number of months</t>
  </si>
  <si>
    <t>P41</t>
  </si>
  <si>
    <t>P42</t>
  </si>
  <si>
    <t>P43</t>
  </si>
  <si>
    <t>P44</t>
  </si>
  <si>
    <t>P45</t>
  </si>
  <si>
    <t>P46</t>
  </si>
  <si>
    <t>P47</t>
  </si>
  <si>
    <t>P48</t>
  </si>
  <si>
    <t>P49</t>
  </si>
  <si>
    <t>P50</t>
  </si>
  <si>
    <t>Partner 
N°</t>
  </si>
  <si>
    <t>Name of Partner</t>
  </si>
  <si>
    <t>100 KM and 499 KM</t>
  </si>
  <si>
    <t>500 KM and 1999 KM</t>
  </si>
  <si>
    <t>2000 KM and 2999 KM</t>
  </si>
  <si>
    <t>8000 KM or more</t>
  </si>
  <si>
    <t>Slovakia</t>
  </si>
  <si>
    <t>3000 KM and 3999 KM</t>
  </si>
  <si>
    <t>4000 KM and 7999 KM</t>
  </si>
  <si>
    <t>Travel Costs</t>
  </si>
  <si>
    <t>P13</t>
  </si>
  <si>
    <t>Staff Costs</t>
  </si>
  <si>
    <t>P51</t>
  </si>
  <si>
    <t>P52</t>
  </si>
  <si>
    <t>P53</t>
  </si>
  <si>
    <t>P54</t>
  </si>
  <si>
    <t>P55</t>
  </si>
  <si>
    <t>Work
Package</t>
  </si>
  <si>
    <t>Total 
(EUR)</t>
  </si>
  <si>
    <t>Total
(EUR)</t>
  </si>
  <si>
    <t>Amount
Excluding VAT
(EUR)</t>
  </si>
  <si>
    <t>1. Staff Costs</t>
  </si>
  <si>
    <t>Palestine</t>
  </si>
  <si>
    <t>Kosovo</t>
  </si>
  <si>
    <t>Project Acronym</t>
  </si>
  <si>
    <t>Project Title</t>
  </si>
  <si>
    <t>Travel 
Costs
(EUR)</t>
  </si>
  <si>
    <t>Development</t>
  </si>
  <si>
    <t>Preparation</t>
  </si>
  <si>
    <t>Management</t>
  </si>
  <si>
    <t>Costs of
Stay
(EUR)</t>
  </si>
  <si>
    <t>PR/PA</t>
  </si>
  <si>
    <t>Countries</t>
  </si>
  <si>
    <t>Budget Breakdown by Workpackage / Budget Headings</t>
  </si>
  <si>
    <t>DISTRIBUTION OF THE GRANT BY ORGANISATION (in EUR)</t>
  </si>
  <si>
    <t>Ukraine</t>
  </si>
  <si>
    <t>Russia</t>
  </si>
  <si>
    <t>Number of Days</t>
  </si>
  <si>
    <t>2-3. Travel Costs &amp; Costs of Stay</t>
  </si>
  <si>
    <t>Total (EUR)</t>
  </si>
  <si>
    <t>4. Equipment Costs</t>
  </si>
  <si>
    <t>5. Subcontracting Costs</t>
  </si>
  <si>
    <t>Subsistence Costs</t>
  </si>
  <si>
    <t>Subsistence
Costs
(EUR)</t>
  </si>
  <si>
    <t>2. Travel Costs</t>
  </si>
  <si>
    <t>3. Costs of Stay</t>
  </si>
  <si>
    <t>Item*</t>
  </si>
  <si>
    <t>Source of Co-financing**</t>
  </si>
  <si>
    <t>Justification***</t>
  </si>
  <si>
    <t>1. Staff 
Costs</t>
  </si>
  <si>
    <t>2. Travel 
Costs</t>
  </si>
  <si>
    <t>3. Costs of 
Stay</t>
  </si>
  <si>
    <t>4. Equipment 
Costs</t>
  </si>
  <si>
    <t>5. Subcontracting 
Costs</t>
  </si>
  <si>
    <t>B. Special Mobility 
Strand</t>
  </si>
  <si>
    <t>A. Grant for Project Activities</t>
  </si>
  <si>
    <t>Total Grant requested from the European Union (A + B)</t>
  </si>
  <si>
    <t>Programme Countries</t>
  </si>
  <si>
    <t>Partner Countries</t>
  </si>
  <si>
    <t>Total Number 
of Days</t>
  </si>
  <si>
    <t>Information for the Co-financing</t>
  </si>
  <si>
    <t>3. Costs 
of Stay</t>
  </si>
  <si>
    <t>4. Equipment
Costs</t>
  </si>
  <si>
    <t>5. Subcontracting
Costs</t>
  </si>
  <si>
    <t>B. Special 
Mobility Strand</t>
  </si>
  <si>
    <t>Budget Breakdown by Programme or Partner Countries / Budget Headings</t>
  </si>
  <si>
    <t>Partner
N°</t>
  </si>
  <si>
    <t>Budget Breakdown by Partner / Work Package</t>
  </si>
  <si>
    <t>Category</t>
  </si>
  <si>
    <t>Students from Partner Countries</t>
  </si>
  <si>
    <t>Students from Programme Countries</t>
  </si>
  <si>
    <t>Number of 
days</t>
  </si>
  <si>
    <t>Number of 
months (per participant)</t>
  </si>
  <si>
    <t>Staff from Partner Countries</t>
  </si>
  <si>
    <t>Staff from Programme Countries</t>
  </si>
  <si>
    <t>Staff</t>
  </si>
  <si>
    <t>Number of 
days (per participant)</t>
  </si>
  <si>
    <t>Student</t>
  </si>
  <si>
    <t>Unit cost 
per day</t>
  </si>
  <si>
    <t>Travel Distance</t>
  </si>
  <si>
    <t>Number of 
Participants</t>
  </si>
  <si>
    <t>Receiving country</t>
  </si>
  <si>
    <t>Student/
Staff</t>
  </si>
  <si>
    <t>Number of 
Days</t>
  </si>
  <si>
    <t>Partner N°</t>
  </si>
  <si>
    <t>Value cannot exceed 80% of total A</t>
  </si>
  <si>
    <t>Name of Partner
(to encode in overview sheet)</t>
  </si>
  <si>
    <t>Country
(to encode in overview sheet)</t>
  </si>
  <si>
    <t>Check
Data
Encoding</t>
  </si>
  <si>
    <t>* e.g.: Equipment,  Staff costs, travel costs and/or costs of stay, printing &amp; publishing</t>
  </si>
  <si>
    <t>** e.g.: governmental grant, organisation/institution's own resources</t>
  </si>
  <si>
    <t>*** e.g.: Preparation of training materials - 2 days x 7,5 hours x 3 persons x € 25</t>
  </si>
  <si>
    <t>EU GRANT REQUESTED FROM THE EUROPEAN UNION (in EUR)</t>
  </si>
  <si>
    <r>
      <rPr>
        <b/>
        <u/>
        <sz val="14"/>
        <rFont val="Arial Narrow"/>
        <family val="2"/>
      </rPr>
      <t>City</t>
    </r>
    <r>
      <rPr>
        <b/>
        <sz val="14"/>
        <rFont val="Arial Narrow"/>
        <family val="2"/>
      </rPr>
      <t xml:space="preserve"> of Departure</t>
    </r>
  </si>
  <si>
    <r>
      <rPr>
        <b/>
        <u/>
        <sz val="14"/>
        <rFont val="Arial Narrow"/>
        <family val="2"/>
      </rPr>
      <t>City</t>
    </r>
    <r>
      <rPr>
        <b/>
        <sz val="14"/>
        <rFont val="Arial Narrow"/>
        <family val="2"/>
      </rPr>
      <t xml:space="preserve"> of Destination</t>
    </r>
  </si>
  <si>
    <t>A.1 Staff Costs</t>
  </si>
  <si>
    <t>A.2 &amp; B Travel Costs</t>
  </si>
  <si>
    <t>A. 3 Costs of Stay</t>
  </si>
  <si>
    <t>A.4 Equipment</t>
  </si>
  <si>
    <t>A.5 Subcontracting</t>
  </si>
  <si>
    <t>B - Special Mobility Strand</t>
  </si>
  <si>
    <t>Subsistence costs for Special Mobility Strand</t>
  </si>
  <si>
    <t xml:space="preserve">* Link to CBHE Call for proposal, forms, annexes and guidelines: </t>
  </si>
  <si>
    <t>B. Special Mobility Strand - Student</t>
  </si>
  <si>
    <t>B. Special Mobility Strand - Staff</t>
  </si>
  <si>
    <t>former Yugoslav Republic of Macedonia</t>
  </si>
  <si>
    <t>Angola</t>
  </si>
  <si>
    <t>Antigua and Barbuda</t>
  </si>
  <si>
    <t>Bahamas</t>
  </si>
  <si>
    <t>Barbados</t>
  </si>
  <si>
    <t>Belize</t>
  </si>
  <si>
    <t>Benin</t>
  </si>
  <si>
    <t>Botswana</t>
  </si>
  <si>
    <t>Burkina Faso</t>
  </si>
  <si>
    <t>Burundi</t>
  </si>
  <si>
    <t>Cameroon</t>
  </si>
  <si>
    <t>Cape Verde</t>
  </si>
  <si>
    <t>Central African Republic</t>
  </si>
  <si>
    <t>Chad</t>
  </si>
  <si>
    <t>Comoros</t>
  </si>
  <si>
    <t>Congo</t>
  </si>
  <si>
    <t>Cook Islands</t>
  </si>
  <si>
    <t>Djibouti</t>
  </si>
  <si>
    <t>Dominica</t>
  </si>
  <si>
    <t>Dominican Republic</t>
  </si>
  <si>
    <t>Equatorial Guinea</t>
  </si>
  <si>
    <t>Eritrea</t>
  </si>
  <si>
    <t>Ethiopia</t>
  </si>
  <si>
    <t>Gabon</t>
  </si>
  <si>
    <t>Gambia</t>
  </si>
  <si>
    <t>Ghana</t>
  </si>
  <si>
    <t>Grenada</t>
  </si>
  <si>
    <t>Guinea</t>
  </si>
  <si>
    <t>Guinea-Bissau</t>
  </si>
  <si>
    <t>Guyana</t>
  </si>
  <si>
    <t>Haiti</t>
  </si>
  <si>
    <t>Ivory Coast</t>
  </si>
  <si>
    <t>Jamaica</t>
  </si>
  <si>
    <t>Kenya</t>
  </si>
  <si>
    <t>Kiribati</t>
  </si>
  <si>
    <t>Lesotho</t>
  </si>
  <si>
    <t>Liberia</t>
  </si>
  <si>
    <t>Madagascar</t>
  </si>
  <si>
    <t>Malawi</t>
  </si>
  <si>
    <t>Mali</t>
  </si>
  <si>
    <t>Marshall Islands</t>
  </si>
  <si>
    <t>Mauritania</t>
  </si>
  <si>
    <t>Mauritius</t>
  </si>
  <si>
    <t>Mozambique</t>
  </si>
  <si>
    <t>Myanmar</t>
  </si>
  <si>
    <t>Namibia</t>
  </si>
  <si>
    <t>Nauru</t>
  </si>
  <si>
    <t>Niger</t>
  </si>
  <si>
    <t>Nigeria</t>
  </si>
  <si>
    <t>Niue</t>
  </si>
  <si>
    <t>Palau</t>
  </si>
  <si>
    <t>Papua New Guinea</t>
  </si>
  <si>
    <t>Rwanda</t>
  </si>
  <si>
    <t>Saint Kitts and Nevis</t>
  </si>
  <si>
    <t>Saint Vincent and the Grenadines</t>
  </si>
  <si>
    <t>Samoa</t>
  </si>
  <si>
    <t>Sao Tome and Principe</t>
  </si>
  <si>
    <t>Senegal</t>
  </si>
  <si>
    <t>Seychelles</t>
  </si>
  <si>
    <t>Sierra Leone</t>
  </si>
  <si>
    <t>Somalia</t>
  </si>
  <si>
    <t>South Sudan</t>
  </si>
  <si>
    <t>Sudan</t>
  </si>
  <si>
    <t>Swaziland</t>
  </si>
  <si>
    <t>Tanzania</t>
  </si>
  <si>
    <t>Togo</t>
  </si>
  <si>
    <t>Tonga</t>
  </si>
  <si>
    <t>Trinidad and Tobago</t>
  </si>
  <si>
    <t>Tuvalu</t>
  </si>
  <si>
    <t>Uganda</t>
  </si>
  <si>
    <t>Vanuatu</t>
  </si>
  <si>
    <t>Zambia</t>
  </si>
  <si>
    <t>Zimbabwe</t>
  </si>
  <si>
    <t>0 KM and 99 KM</t>
  </si>
  <si>
    <t>Action Type</t>
  </si>
  <si>
    <t>Duration</t>
  </si>
  <si>
    <t>Structural Project</t>
  </si>
  <si>
    <t>Joint Project</t>
  </si>
  <si>
    <t>B. Additional Grant for Special Mobility Strand</t>
  </si>
  <si>
    <t>Number of Participants</t>
  </si>
  <si>
    <t>Work Package</t>
  </si>
  <si>
    <t>Students from Partner Countries
(per month)</t>
  </si>
  <si>
    <t>Students from Programme Countries
(per month)</t>
  </si>
  <si>
    <t>Staff from Programme Countries
(per day)</t>
  </si>
  <si>
    <t>Travel Costs Student (EUR)</t>
  </si>
  <si>
    <t>Costs of Stay Student (EUR)</t>
  </si>
  <si>
    <t>Travel Costs Staff (EUR)</t>
  </si>
  <si>
    <t>Costs of Stay Staff (EUR)</t>
  </si>
  <si>
    <t>Total Travel Costs (EUR)</t>
  </si>
  <si>
    <t>Total Costs of Stay (EUR)</t>
  </si>
  <si>
    <t>Amounts
(in EUR)</t>
  </si>
  <si>
    <t>Total 
Costs (in EUR)</t>
  </si>
  <si>
    <t>Country
SMS</t>
  </si>
  <si>
    <t>SMS</t>
  </si>
  <si>
    <t>Category 2</t>
  </si>
  <si>
    <t>Sri Lanka</t>
  </si>
  <si>
    <t>El Salvador</t>
  </si>
  <si>
    <t>CALL FOR PROPOSALS 2016 – EAC/A04/2015 - Erasmus+ Programme (2015/C 347/06)</t>
  </si>
  <si>
    <t>Capacity Building in the field of higher education</t>
  </si>
  <si>
    <t>http://ec.europa.eu/programmes/erasmus-plus/discover/guide/index_en.htm</t>
  </si>
  <si>
    <t>Contribution for the purchase of equipment necessary for the implementation of the project. Support is provided only for equipment purchased for the benefit of the HEIs in the Partner Countries. 
Conditional: the request for financial support to cover these costs must be motivated in the application form</t>
  </si>
  <si>
    <r>
      <t xml:space="preserve">Unit costs
</t>
    </r>
    <r>
      <rPr>
        <b/>
        <sz val="11"/>
        <color theme="1"/>
        <rFont val="Calibri"/>
        <family val="2"/>
      </rPr>
      <t>Contribution to the costs of staff performing tasks which are directly necessary to the achievements of the project's objectives.
Conditional: applicants will have to justify the type and volume of resources needed in relation to the implementation of the proposed activities and outputs. The contribution is provided on the  condition that the salary for the same tasks is compensated only once.</t>
    </r>
  </si>
  <si>
    <t>Administrative
Staff</t>
  </si>
  <si>
    <t>Administrative Staff</t>
  </si>
  <si>
    <t>Technical
Staff</t>
  </si>
  <si>
    <t>Technical Staff</t>
  </si>
  <si>
    <t>Unit costs based on the travel distance per participant. 
Travel distances must be calculated using the distance calculator supported by the European Commission . 
The applicant must indicate the distance of a one-way travel to calculate the amount of the EU grant that will support the round trip.</t>
  </si>
  <si>
    <t>Support for sub-contracting costs that are necessary to the implementation of the project, including, in particular, costs for the compulsory financial audits (audit certificate) and for any external quality assurance procedure.
Sub-contracting for project-management-related tasks is not eligible.
Sub-contracting to external bodies should be very occasional. The specific competences and particular expertise needed to reach the project objectives should be found in the consortium and should determine its composition.</t>
  </si>
  <si>
    <r>
      <rPr>
        <b/>
        <u/>
        <sz val="11"/>
        <color theme="1"/>
        <rFont val="Calibri"/>
        <family val="2"/>
      </rPr>
      <t>Travel costs (students and staff):</t>
    </r>
    <r>
      <rPr>
        <b/>
        <sz val="11"/>
        <color theme="1"/>
        <rFont val="Calibri"/>
        <family val="2"/>
      </rPr>
      <t xml:space="preserve">  Unit costs (please refer to unit costs in table A2).
Contribution to the travel costs of students and staff involved in the project, from their place of origin to the venue of the activity and return (including visa fee and related obligatory insurance, travel insurance and cancellation costs if justified).
Activities and related travels must be carried out in the countries involved in the project. Any exception to this rule must be authorised by the Agency. For the detailed list of eligible activities, see Annex I of this Guide.
</t>
    </r>
    <r>
      <rPr>
        <b/>
        <u/>
        <sz val="11"/>
        <color theme="1"/>
        <rFont val="Calibri"/>
        <family val="2"/>
      </rPr>
      <t xml:space="preserve">Subsistence costs: </t>
    </r>
    <r>
      <rPr>
        <b/>
        <sz val="11"/>
        <color theme="1"/>
        <rFont val="Calibri"/>
        <family val="2"/>
      </rPr>
      <t xml:space="preserve"> Unit costs based on the duration of the stay of the participants.
Costs for subsistence, accommodation, local and public transport such as bus and taxi, personal or optional health insurance. Based on the duration of the stay per participant.</t>
    </r>
  </si>
  <si>
    <t>Saint Lucia</t>
  </si>
  <si>
    <t>Quality Plan</t>
  </si>
  <si>
    <t>Staff from 
Partner Countries
(per day)</t>
  </si>
  <si>
    <r>
      <t xml:space="preserve">Costs for subsistence, accommodation, local and public transport such as bus and taxi, personal or optional health insurance.
Unit costs based on the duration of the stay of the participants:
</t>
    </r>
    <r>
      <rPr>
        <b/>
        <u/>
        <sz val="11"/>
        <color theme="1"/>
        <rFont val="Calibri"/>
        <family val="2"/>
      </rPr>
      <t>Staff:</t>
    </r>
    <r>
      <rPr>
        <b/>
        <sz val="11"/>
        <color theme="1"/>
        <rFont val="Calibri"/>
        <family val="2"/>
      </rPr>
      <t xml:space="preserve"> 
120 EUR/day from day 1 to day 14
70 EUR/day from day 15 to day 60
50 EUR/day from day 61 to day 90 (the maximum)
</t>
    </r>
    <r>
      <rPr>
        <b/>
        <u/>
        <sz val="11"/>
        <color theme="1"/>
        <rFont val="Calibri"/>
        <family val="2"/>
      </rPr>
      <t>Student:</t>
    </r>
    <r>
      <rPr>
        <b/>
        <sz val="11"/>
        <color theme="1"/>
        <rFont val="Calibri"/>
        <family val="2"/>
      </rPr>
      <t xml:space="preserve"> 
55 EUR/day from day 1 to day 14
40 EUR/day from day 15 to max day 90 (the maximum)</t>
    </r>
  </si>
  <si>
    <t xml:space="preserve">* Link to Erasmus+ Programme guide 2016: </t>
  </si>
  <si>
    <t>http://eacea.ec.europa.eu/erasmus-plus/funding/capacity-building-in-field-higher-education-eaca042015_en</t>
  </si>
  <si>
    <r>
      <rPr>
        <b/>
        <sz val="16"/>
        <rFont val="Calibri"/>
        <family val="2"/>
      </rPr>
      <t>UNIT COSTS AND SUMMARY OF THE FUNDING RULES FOR  JOINT AND STRUCTURAL CAPACITY BUILDING PROJECTS</t>
    </r>
    <r>
      <rPr>
        <b/>
        <sz val="12"/>
        <rFont val="Calibri"/>
        <family val="2"/>
      </rPr>
      <t xml:space="preserve">
You can find below the unit costs values used in this file for the calculation of the grant.
Please refer to the </t>
    </r>
    <r>
      <rPr>
        <b/>
        <i/>
        <sz val="12"/>
        <color theme="1"/>
        <rFont val="Calibri"/>
        <family val="2"/>
      </rPr>
      <t>Erasmus+ Programme guide 2016*</t>
    </r>
    <r>
      <rPr>
        <b/>
        <sz val="12"/>
        <color theme="1"/>
        <rFont val="Calibri"/>
        <family val="2"/>
      </rPr>
      <t xml:space="preserve"> </t>
    </r>
    <r>
      <rPr>
        <b/>
        <sz val="12"/>
        <rFont val="Calibri"/>
        <family val="2"/>
      </rPr>
      <t>for a complete overview of the funding rules applying to the Joint and Structural Capacity Building Projects</t>
    </r>
    <r>
      <rPr>
        <b/>
        <sz val="12"/>
        <color rgb="FFFF0000"/>
        <rFont val="Calibri"/>
        <family val="2"/>
      </rPr>
      <t xml:space="preserve"> </t>
    </r>
    <r>
      <rPr>
        <b/>
        <sz val="12"/>
        <color theme="1"/>
        <rFont val="Calibri"/>
        <family val="2"/>
      </rPr>
      <t>(Part B of the guide and Annex 1).</t>
    </r>
  </si>
  <si>
    <t>Dissemination &amp; Exploitation</t>
  </si>
  <si>
    <t>Fiji</t>
  </si>
  <si>
    <t>DPR Korea</t>
  </si>
  <si>
    <t>Solomon Islands</t>
  </si>
  <si>
    <t>Suriname</t>
  </si>
  <si>
    <t>Kazakstan</t>
  </si>
  <si>
    <t>Congo - Republic of the-</t>
  </si>
  <si>
    <t>Micronesia - Federated States of-</t>
  </si>
  <si>
    <t>Timor Leste - Republic of-</t>
  </si>
  <si>
    <t>100% of eligible costs
Max. 30% of the total grant</t>
  </si>
  <si>
    <t>100% of eligible costs
Max. 10% of the total grant</t>
  </si>
  <si>
    <t>PROTEACH</t>
  </si>
  <si>
    <t>Promoting teachers' success in their induction period</t>
  </si>
  <si>
    <t>Beit Berl College</t>
  </si>
  <si>
    <t>University of Bucharest</t>
  </si>
  <si>
    <t>Tallinn University</t>
  </si>
  <si>
    <t>Talpiot Academic College</t>
  </si>
  <si>
    <t>Tel Aviv</t>
  </si>
  <si>
    <t>Tallinn</t>
  </si>
  <si>
    <t>Austria - Dissemination</t>
  </si>
  <si>
    <t>Exeter</t>
  </si>
  <si>
    <t>Estonia - Dissemination</t>
  </si>
  <si>
    <t>Bucharest</t>
  </si>
  <si>
    <t>UK - Dissemination</t>
  </si>
  <si>
    <t>Romania - Dissemination</t>
  </si>
  <si>
    <t>Kfar Saba</t>
  </si>
  <si>
    <t>Beer Sheva</t>
  </si>
  <si>
    <t>Israel - Dissemination</t>
  </si>
  <si>
    <t>Haifa</t>
  </si>
  <si>
    <t>Salzburg</t>
  </si>
  <si>
    <t>External audit and monitoring - for all partners and full project duration</t>
  </si>
  <si>
    <t>External evaluation - Co-formulating evaluation plan (deliv. 3.1.1), carrying out current evaluation tasks and preparing evaluation report.</t>
  </si>
  <si>
    <t>Sakhnin</t>
  </si>
  <si>
    <t>Holon</t>
  </si>
  <si>
    <t>The College of Sakhnin</t>
  </si>
  <si>
    <t>The University of Salzburg</t>
  </si>
  <si>
    <t>Gordon Academic College of Education</t>
  </si>
  <si>
    <t>The University of Exeter</t>
  </si>
  <si>
    <t>Kaye Academic College of Education</t>
  </si>
  <si>
    <t>The MOFET Institute</t>
  </si>
  <si>
    <t>Kibbutzim College of Education, Technology and Arts</t>
  </si>
  <si>
    <t>Hosting of two events (conference and study/info day) at the College</t>
  </si>
  <si>
    <t>Own resources</t>
  </si>
  <si>
    <t>Staff work, hosting costs, associated printing of support material, refreshments, use of equipment, invitations</t>
  </si>
  <si>
    <t>Printing and publishing, PR video, translation</t>
  </si>
  <si>
    <t>For the purposes of the meetings and dissemination activities.</t>
  </si>
  <si>
    <t>Additional staff</t>
  </si>
  <si>
    <t>70 hours, to support staff meeting and steering committees, administrative support, etc.</t>
  </si>
  <si>
    <t>Staff for the preparation of workshops</t>
  </si>
  <si>
    <t>Necessary for the project</t>
  </si>
  <si>
    <t>Rooms+catering for committees, conferences and other proj. meetings</t>
  </si>
  <si>
    <t xml:space="preserve">Additional staff time for project’s core work (from regular project’s team or otherwise) </t>
  </si>
  <si>
    <t>Additional support for managerial and administrative work, financial reporting, etc.</t>
  </si>
  <si>
    <t>Provision of rooms, facilities and equipment to support the project</t>
  </si>
  <si>
    <t>2 days auditorium + 12 days classroom</t>
  </si>
  <si>
    <t>Photocopies, printing</t>
  </si>
  <si>
    <t>Rough estimation</t>
  </si>
  <si>
    <t>Conference hosting</t>
  </si>
  <si>
    <t>Conference preparation and conduction/execution-related work, hosting costs and all necessary equipment</t>
  </si>
  <si>
    <t>Additional equipment</t>
  </si>
  <si>
    <t>2 desktop computers, 3 laptops, 2 intelligent workstations</t>
  </si>
  <si>
    <t>Printing and publishing, PR video, website (creation, maintenance, support)</t>
  </si>
  <si>
    <t>To support project-related public relations of the college and dissemination efforts of the project in general.</t>
  </si>
  <si>
    <t>Supporing &amp; complementing the work on project’s actions (particip. in team meetings, steering committees), as relevant according to the project’s stage and progress - 50 work hours</t>
  </si>
  <si>
    <t>Allocation by the University of Exeter of additional staff time, foreseen to come from support from the wider expert pedagogical community within the Graduate School of Education in the University.</t>
  </si>
  <si>
    <t>Preparation of training and research (25 days x 75 euro/day) + Development of training and research (60 days x 75 euro/day)</t>
  </si>
  <si>
    <t>Provision for overheads</t>
  </si>
  <si>
    <t>Staff time employed in project but not included in budget</t>
  </si>
  <si>
    <t>Estimated as 7% of total staff cost, allocated to work under staff categories 1 and 4; approx. allocation is 933 Euros for cat. 1 and 211 Euros for cat. 4</t>
  </si>
  <si>
    <t>They are incurred, but not financed by the Program. Estimated as 7% of total (EC-financed) budget</t>
  </si>
  <si>
    <t>translation of manuals and other material, and proof reading - 150 pages x 24 euros</t>
  </si>
  <si>
    <t>3 laptops &amp; 10 tablets for MITs, incl. software; 1 printer; 1 scanner-photocopier; 1 projector; 1 video camera for classroom activity recording + video editing &amp; analysis software - all usable in other WPs as well.</t>
  </si>
  <si>
    <t>Hosting two events: University classrooms</t>
  </si>
  <si>
    <t>The University will provide the rooms for free</t>
  </si>
  <si>
    <t>Staff work Patry</t>
  </si>
  <si>
    <t>Copying and Printing</t>
  </si>
  <si>
    <t>The Department is willing to contribute to the project</t>
  </si>
  <si>
    <t>I (Prof. Jean-Luc Patry) am willing to do this work without honorary</t>
  </si>
  <si>
    <t>Personal</t>
  </si>
  <si>
    <t>Needed for activities and project meetings</t>
  </si>
  <si>
    <t>Preparation of training and research (15days*75 euro/day)
Development of training and research (45 days*75 euro/day)
Preparation of training and research (15days*75 euro/day)
Development of training and research (45 days*75 euro/day)</t>
  </si>
  <si>
    <t>1 laptop &amp; 5 tablets for MIT, incl. software; 1 printer; 1 scanner-photocopier; 1 projector; 1 video camera for classroom activity recording - all usable in other WPs as well.</t>
  </si>
  <si>
    <t>Creating and maintaining (technically, graphically, Moodle-related coordination) the website for the proj. and the community of new teachers @ 400/month average</t>
  </si>
  <si>
    <t>Covers an estimated total of 29 such meetings in the Colleges facilities</t>
  </si>
  <si>
    <t>Supporing &amp; complementing the work on project’s actions (particip. in meetings, workshops, training sessions, etc.), as relevant according to the project’s stage and progress - 24 days at 132 Euros/day (Program's unit costs)</t>
  </si>
  <si>
    <t>12 days of manager @166/day, 22 days of technician (inc. accounting) @102/day, 22 days of admin @92/day (rough estim. using program's unit costs)</t>
  </si>
  <si>
    <t>Own resources (University)</t>
  </si>
  <si>
    <t>2 yearly hours @ 14000 NIS/yrly-hr</t>
  </si>
  <si>
    <t>Photocopies, printing and other admin costs (proj. salaries handling)</t>
  </si>
  <si>
    <t>Contribution to the cost of travel and stay for part of the trips</t>
  </si>
  <si>
    <t>The College deems important to ensure that, depending on the subject of the relevant meeting, certain staff members attend it, warranting sufficient funding also when Budget does not provide it.</t>
  </si>
  <si>
    <t>Website-related</t>
  </si>
  <si>
    <t>Providing materials for the website</t>
  </si>
  <si>
    <t>Israel meeting place *</t>
  </si>
  <si>
    <t>Romania meeting place *</t>
  </si>
  <si>
    <t>UK meeting place *</t>
  </si>
  <si>
    <t>Estonia meeting place *</t>
  </si>
  <si>
    <t>Austria meeting place *</t>
  </si>
  <si>
    <t>Israel - Various  **</t>
  </si>
  <si>
    <t>(*) (**)  SEE EXPLANATION UNDER "LOCAL TRIPS AND STAY" IN SECTION H.2 OF DETAILED PROJECT DESCRIPTION.</t>
  </si>
  <si>
    <t>Staff meeting, administrative support, workshops, training sessions, etc.</t>
  </si>
  <si>
    <t>Printing and photocopies</t>
  </si>
  <si>
    <t>Project's needs</t>
  </si>
  <si>
    <t>1 desktop computer, 2 laptops</t>
  </si>
  <si>
    <t>Complementing the research input from the University of Exeter as well as ensuring the appropriateness of the teaching and training elements and, if necessary, helping to deliver these. Approximately 26 days at 214 Euros/day, which will be evidenced at actual costs to Exeter.</t>
  </si>
  <si>
    <t>Needed for the activities in Exeter for staff and students, and also for dissemination events to be held at the University.</t>
  </si>
  <si>
    <t>Meeting rooms, facilities and equipment</t>
  </si>
  <si>
    <t>Needed for the project work, including dissemination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</si>
</sst>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0_ ;\-#,##0\ "/>
    <numFmt numFmtId="165" formatCode="#,##0.0_ ;\-#,##0.0\ "/>
    <numFmt numFmtId="166" formatCode="#,##0.00_ ;\-#,##0.00\ "/>
    <numFmt numFmtId="167" formatCode="#,##0\ &quot;Participant(s)&quot;"/>
    <numFmt numFmtId="168" formatCode="&quot;Total Student (in EUR)&quot;\ #,##0.00"/>
    <numFmt numFmtId="169" formatCode="&quot;Total Staff (in EUR)&quot;\ #,##0.00"/>
    <numFmt numFmtId="170" formatCode="#,##0\ &quot;Student(s)&quot;"/>
    <numFmt numFmtId="171" formatCode="#,##0\ &quot;Staff&quot;"/>
    <numFmt numFmtId="172" formatCode="&quot;Total (Student+Staff)&quot;\ #,##0.00"/>
  </numFmts>
  <fonts count="39"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4"/>
      <name val="Arial Narrow"/>
      <family val="2"/>
    </font>
    <font>
      <b/>
      <sz val="14"/>
      <name val="Arial Narrow"/>
      <family val="2"/>
    </font>
    <font>
      <b/>
      <sz val="11"/>
      <color theme="1"/>
      <name val="Calibri"/>
      <family val="2"/>
      <scheme val="minor"/>
    </font>
    <font>
      <sz val="14"/>
      <color rgb="FFFF0000"/>
      <name val="Arial Narrow"/>
      <family val="2"/>
    </font>
    <font>
      <b/>
      <sz val="14"/>
      <color rgb="FFFF0000"/>
      <name val="Arial Narrow"/>
      <family val="2"/>
    </font>
    <font>
      <b/>
      <sz val="14"/>
      <color theme="1"/>
      <name val="Arial Narrow"/>
      <family val="2"/>
    </font>
    <font>
      <b/>
      <sz val="14"/>
      <color theme="0"/>
      <name val="Arial Narrow"/>
      <family val="2"/>
    </font>
    <font>
      <sz val="18"/>
      <name val="Arial Narrow"/>
      <family val="2"/>
    </font>
    <font>
      <b/>
      <sz val="18"/>
      <name val="Arial Narrow"/>
      <family val="2"/>
    </font>
    <font>
      <b/>
      <sz val="14"/>
      <name val="Arial"/>
      <family val="2"/>
    </font>
    <font>
      <sz val="14"/>
      <name val="Arial"/>
      <family val="2"/>
    </font>
    <font>
      <b/>
      <u/>
      <sz val="14"/>
      <name val="Arial Narrow"/>
      <family val="2"/>
    </font>
    <font>
      <sz val="14"/>
      <color theme="1"/>
      <name val="Arial Narrow"/>
      <family val="2"/>
    </font>
    <font>
      <sz val="14"/>
      <color theme="0"/>
      <name val="Arial Narrow"/>
      <family val="2"/>
    </font>
    <font>
      <i/>
      <sz val="14"/>
      <name val="Arial Narrow"/>
      <family val="2"/>
    </font>
    <font>
      <u/>
      <sz val="11"/>
      <color theme="10"/>
      <name val="Calibri"/>
      <family val="2"/>
      <scheme val="minor"/>
    </font>
    <font>
      <sz val="11"/>
      <color rgb="FFFF0000"/>
      <name val="Calibri"/>
      <family val="2"/>
      <scheme val="minor"/>
    </font>
    <font>
      <b/>
      <sz val="12"/>
      <color rgb="FFFF0000"/>
      <name val="Calibri"/>
      <family val="2"/>
    </font>
    <font>
      <u/>
      <sz val="10"/>
      <color rgb="FFFF0000"/>
      <name val="Arial"/>
      <family val="2"/>
    </font>
    <font>
      <u/>
      <sz val="11"/>
      <color rgb="FFFF0000"/>
      <name val="Calibri"/>
      <family val="2"/>
      <scheme val="minor"/>
    </font>
    <font>
      <sz val="14"/>
      <color rgb="FFFF0000"/>
      <name val="Calibri"/>
      <family val="2"/>
      <scheme val="minor"/>
    </font>
    <font>
      <sz val="12"/>
      <name val="Arial"/>
      <family val="2"/>
    </font>
    <font>
      <b/>
      <sz val="10"/>
      <name val="Calibri"/>
      <family val="2"/>
    </font>
    <font>
      <b/>
      <sz val="12"/>
      <name val="Calibri"/>
      <family val="2"/>
    </font>
    <font>
      <b/>
      <sz val="16"/>
      <name val="Calibri"/>
      <family val="2"/>
    </font>
    <font>
      <b/>
      <sz val="12"/>
      <name val="Calibri"/>
      <family val="2"/>
      <scheme val="minor"/>
    </font>
    <font>
      <b/>
      <sz val="14"/>
      <color theme="1"/>
      <name val="Calibri"/>
      <family val="2"/>
      <scheme val="minor"/>
    </font>
    <font>
      <b/>
      <u/>
      <sz val="11"/>
      <color theme="1"/>
      <name val="Calibri"/>
      <family val="2"/>
    </font>
    <font>
      <b/>
      <sz val="11"/>
      <color theme="1"/>
      <name val="Calibri"/>
      <family val="2"/>
    </font>
    <font>
      <b/>
      <sz val="12"/>
      <name val="Arial"/>
      <family val="2"/>
    </font>
    <font>
      <b/>
      <sz val="18"/>
      <color theme="1"/>
      <name val="Arial Narrow"/>
      <family val="2"/>
    </font>
    <font>
      <b/>
      <i/>
      <sz val="12"/>
      <color theme="1"/>
      <name val="Calibri"/>
      <family val="2"/>
    </font>
    <font>
      <b/>
      <sz val="12"/>
      <color theme="1"/>
      <name val="Calibri"/>
      <family val="2"/>
    </font>
    <font>
      <b/>
      <sz val="14"/>
      <color rgb="FFFF0000"/>
      <name val="Calibri"/>
      <family val="2"/>
    </font>
    <font>
      <sz val="16"/>
      <name val="Arial Narrow"/>
      <family val="2"/>
    </font>
  </fonts>
  <fills count="10">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43" fontId="2" fillId="0" borderId="0" applyFont="0" applyFill="0" applyBorder="0" applyAlignment="0" applyProtection="0"/>
    <xf numFmtId="0" fontId="1" fillId="0" borderId="0" applyNumberFormat="0" applyFill="0" applyBorder="0" applyAlignment="0" applyProtection="0">
      <alignment vertical="top"/>
      <protection locked="0"/>
    </xf>
    <xf numFmtId="0" fontId="3" fillId="0" borderId="0"/>
    <xf numFmtId="0" fontId="19" fillId="0" borderId="0" applyNumberFormat="0" applyFill="0" applyBorder="0" applyAlignment="0" applyProtection="0"/>
  </cellStyleXfs>
  <cellXfs count="234">
    <xf numFmtId="0" fontId="0" fillId="0" borderId="0" xfId="0"/>
    <xf numFmtId="0" fontId="0" fillId="0" borderId="0" xfId="0" applyFont="1" applyProtection="1"/>
    <xf numFmtId="0" fontId="6" fillId="3"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0" fillId="0" borderId="1" xfId="0" applyFont="1" applyBorder="1" applyProtection="1"/>
    <xf numFmtId="4" fontId="0" fillId="0" borderId="1" xfId="0" applyNumberFormat="1" applyFont="1" applyBorder="1" applyProtection="1"/>
    <xf numFmtId="4" fontId="0" fillId="0" borderId="1" xfId="0" applyNumberFormat="1" applyFont="1" applyBorder="1" applyAlignment="1" applyProtection="1">
      <alignment horizontal="right" vertical="center"/>
    </xf>
    <xf numFmtId="4" fontId="0" fillId="0" borderId="1" xfId="0" applyNumberFormat="1" applyBorder="1" applyAlignment="1" applyProtection="1">
      <alignment vertical="center"/>
    </xf>
    <xf numFmtId="4" fontId="0" fillId="0" borderId="1" xfId="0" applyNumberFormat="1" applyBorder="1" applyAlignment="1" applyProtection="1">
      <alignment horizontal="right" vertical="center"/>
    </xf>
    <xf numFmtId="0" fontId="6" fillId="3" borderId="1" xfId="0" applyNumberFormat="1" applyFont="1" applyFill="1" applyBorder="1" applyAlignment="1" applyProtection="1">
      <alignment horizontal="center" vertical="center" wrapText="1"/>
    </xf>
    <xf numFmtId="0" fontId="0" fillId="0" borderId="0" xfId="0" applyFont="1" applyBorder="1" applyProtection="1"/>
    <xf numFmtId="0" fontId="0" fillId="0" borderId="0" xfId="0" applyFont="1" applyFill="1" applyBorder="1" applyProtection="1"/>
    <xf numFmtId="1" fontId="0" fillId="0" borderId="0" xfId="0" applyNumberFormat="1" applyFont="1" applyProtection="1"/>
    <xf numFmtId="1" fontId="0" fillId="0" borderId="1" xfId="0" applyNumberFormat="1" applyFont="1" applyFill="1" applyBorder="1" applyAlignment="1" applyProtection="1">
      <alignment horizontal="center" vertical="center"/>
    </xf>
    <xf numFmtId="4" fontId="0" fillId="0" borderId="0" xfId="0" applyNumberFormat="1" applyFont="1" applyFill="1" applyBorder="1" applyProtection="1"/>
    <xf numFmtId="0" fontId="5" fillId="3" borderId="1" xfId="0" applyFont="1" applyFill="1" applyBorder="1" applyAlignment="1" applyProtection="1">
      <alignment horizontal="center" vertical="center"/>
      <protection hidden="1"/>
    </xf>
    <xf numFmtId="0" fontId="4" fillId="0" borderId="0" xfId="0" applyFont="1" applyFill="1" applyBorder="1" applyAlignment="1" applyProtection="1"/>
    <xf numFmtId="0" fontId="4" fillId="0" borderId="0" xfId="0" applyFont="1" applyFill="1" applyBorder="1" applyAlignment="1" applyProtection="1">
      <alignment horizontal="left"/>
    </xf>
    <xf numFmtId="0" fontId="7" fillId="0" borderId="0" xfId="0" applyFont="1" applyFill="1" applyBorder="1" applyAlignment="1" applyProtection="1">
      <alignment vertical="center"/>
    </xf>
    <xf numFmtId="0" fontId="4" fillId="0" borderId="0" xfId="0" applyFont="1" applyBorder="1" applyAlignment="1" applyProtection="1">
      <protection hidden="1"/>
    </xf>
    <xf numFmtId="0" fontId="4" fillId="0" borderId="0" xfId="0" applyFont="1" applyAlignment="1" applyProtection="1">
      <protection hidden="1"/>
    </xf>
    <xf numFmtId="0" fontId="4" fillId="0" borderId="0" xfId="0" applyFont="1" applyAlignment="1" applyProtection="1"/>
    <xf numFmtId="0" fontId="5" fillId="0" borderId="0" xfId="0" applyFont="1" applyBorder="1" applyAlignment="1" applyProtection="1">
      <alignment horizontal="left" vertical="center"/>
      <protection hidden="1"/>
    </xf>
    <xf numFmtId="0" fontId="5" fillId="0" borderId="0" xfId="0" applyFont="1" applyAlignment="1" applyProtection="1">
      <protection hidden="1"/>
    </xf>
    <xf numFmtId="0" fontId="5" fillId="0" borderId="0" xfId="0" applyFont="1" applyBorder="1" applyAlignment="1" applyProtection="1">
      <protection hidden="1"/>
    </xf>
    <xf numFmtId="0" fontId="4" fillId="0" borderId="0" xfId="0" applyFont="1" applyBorder="1" applyAlignment="1" applyProtection="1">
      <alignment horizontal="center"/>
      <protection hidden="1"/>
    </xf>
    <xf numFmtId="0" fontId="5" fillId="5" borderId="1" xfId="0" applyFont="1" applyFill="1" applyBorder="1" applyAlignment="1" applyProtection="1">
      <alignment horizontal="center" vertical="center"/>
      <protection locked="0"/>
    </xf>
    <xf numFmtId="0" fontId="4" fillId="0" borderId="0" xfId="0" applyFont="1" applyFill="1" applyAlignment="1" applyProtection="1">
      <protection hidden="1"/>
    </xf>
    <xf numFmtId="166" fontId="5" fillId="0" borderId="1" xfId="0" applyNumberFormat="1" applyFont="1" applyBorder="1" applyAlignment="1" applyProtection="1">
      <alignment horizontal="right" vertical="center"/>
      <protection hidden="1"/>
    </xf>
    <xf numFmtId="166" fontId="5" fillId="3" borderId="1" xfId="0" applyNumberFormat="1" applyFont="1" applyFill="1" applyBorder="1" applyAlignment="1" applyProtection="1">
      <alignment horizontal="right" vertical="center"/>
      <protection hidden="1"/>
    </xf>
    <xf numFmtId="0" fontId="5" fillId="0" borderId="0" xfId="0" applyFont="1" applyFill="1" applyBorder="1" applyAlignment="1" applyProtection="1">
      <alignment horizontal="left" vertical="center"/>
      <protection hidden="1"/>
    </xf>
    <xf numFmtId="43" fontId="5" fillId="0" borderId="0" xfId="0" applyNumberFormat="1"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left" vertical="center"/>
      <protection hidden="1"/>
    </xf>
    <xf numFmtId="4" fontId="9" fillId="0" borderId="0" xfId="0" applyNumberFormat="1" applyFont="1" applyFill="1" applyBorder="1" applyAlignment="1" applyProtection="1">
      <alignment horizontal="left" vertical="center"/>
      <protection hidden="1"/>
    </xf>
    <xf numFmtId="0" fontId="5" fillId="3" borderId="1" xfId="0" applyFont="1" applyFill="1" applyBorder="1" applyAlignment="1" applyProtection="1">
      <alignment horizontal="center" vertical="center" wrapText="1"/>
      <protection hidden="1"/>
    </xf>
    <xf numFmtId="3" fontId="5" fillId="3" borderId="1" xfId="0" applyNumberFormat="1" applyFont="1" applyFill="1" applyBorder="1" applyAlignment="1" applyProtection="1">
      <alignment horizontal="center" vertical="center"/>
      <protection hidden="1"/>
    </xf>
    <xf numFmtId="3" fontId="5" fillId="3" borderId="1" xfId="0" applyNumberFormat="1" applyFont="1" applyFill="1" applyBorder="1" applyAlignment="1" applyProtection="1">
      <alignment horizontal="center" vertical="center" wrapText="1"/>
      <protection hidden="1"/>
    </xf>
    <xf numFmtId="3" fontId="5" fillId="6" borderId="1" xfId="0" applyNumberFormat="1"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xf>
    <xf numFmtId="0" fontId="4" fillId="5" borderId="1" xfId="0" applyNumberFormat="1" applyFont="1" applyFill="1" applyBorder="1" applyAlignment="1" applyProtection="1">
      <alignment horizontal="left" vertical="center"/>
      <protection locked="0"/>
    </xf>
    <xf numFmtId="0" fontId="4" fillId="0" borderId="1" xfId="0" applyNumberFormat="1" applyFont="1" applyFill="1" applyBorder="1" applyAlignment="1" applyProtection="1">
      <alignment horizontal="left" vertical="center"/>
    </xf>
    <xf numFmtId="43" fontId="4" fillId="0" borderId="1" xfId="1" applyNumberFormat="1" applyFont="1" applyFill="1" applyBorder="1" applyAlignment="1" applyProtection="1">
      <alignment horizontal="right" vertical="center"/>
      <protection hidden="1"/>
    </xf>
    <xf numFmtId="43" fontId="4" fillId="6" borderId="1" xfId="1" applyNumberFormat="1" applyFont="1" applyFill="1" applyBorder="1" applyAlignment="1" applyProtection="1">
      <alignment horizontal="right" vertical="center"/>
      <protection hidden="1"/>
    </xf>
    <xf numFmtId="43" fontId="5" fillId="3" borderId="1" xfId="1" applyNumberFormat="1" applyFont="1" applyFill="1" applyBorder="1" applyAlignment="1" applyProtection="1">
      <alignment horizontal="right" vertical="center"/>
      <protection hidden="1"/>
    </xf>
    <xf numFmtId="0" fontId="4" fillId="5" borderId="1" xfId="0" applyNumberFormat="1" applyFont="1" applyFill="1" applyBorder="1" applyAlignment="1" applyProtection="1">
      <alignment horizontal="left" vertical="center" wrapText="1"/>
      <protection locked="0"/>
    </xf>
    <xf numFmtId="0" fontId="4" fillId="5" borderId="1" xfId="0" applyNumberFormat="1" applyFont="1" applyFill="1" applyBorder="1" applyAlignment="1" applyProtection="1">
      <alignment horizontal="center" vertical="center"/>
      <protection locked="0"/>
    </xf>
    <xf numFmtId="0" fontId="5" fillId="0" borderId="0" xfId="0" applyFont="1" applyFill="1" applyBorder="1" applyAlignment="1" applyProtection="1"/>
    <xf numFmtId="0" fontId="5" fillId="0" borderId="3" xfId="0" applyFont="1" applyFill="1" applyBorder="1" applyAlignment="1" applyProtection="1"/>
    <xf numFmtId="0" fontId="5" fillId="0" borderId="6" xfId="0" applyFont="1" applyFill="1" applyBorder="1" applyAlignment="1" applyProtection="1"/>
    <xf numFmtId="10" fontId="5" fillId="0" borderId="6" xfId="0" applyNumberFormat="1" applyFont="1" applyFill="1" applyBorder="1" applyAlignment="1" applyProtection="1">
      <alignment horizontal="center" vertical="center"/>
      <protection hidden="1"/>
    </xf>
    <xf numFmtId="10" fontId="5" fillId="0" borderId="7"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center"/>
    </xf>
    <xf numFmtId="0" fontId="5" fillId="0" borderId="1" xfId="0" applyNumberFormat="1" applyFont="1" applyFill="1" applyBorder="1" applyAlignment="1" applyProtection="1">
      <alignment horizontal="left" vertical="center"/>
    </xf>
    <xf numFmtId="43" fontId="4" fillId="0" borderId="1" xfId="0" applyNumberFormat="1" applyFont="1" applyFill="1" applyBorder="1" applyAlignment="1" applyProtection="1">
      <alignment horizontal="right" vertical="center"/>
      <protection hidden="1"/>
    </xf>
    <xf numFmtId="43" fontId="4" fillId="0" borderId="1" xfId="0" applyNumberFormat="1" applyFont="1" applyFill="1" applyBorder="1" applyAlignment="1" applyProtection="1">
      <alignment horizontal="right" vertical="center"/>
    </xf>
    <xf numFmtId="43" fontId="5" fillId="3" borderId="1" xfId="0" applyNumberFormat="1" applyFont="1" applyFill="1" applyBorder="1" applyAlignment="1" applyProtection="1">
      <alignment horizontal="right" vertical="center"/>
    </xf>
    <xf numFmtId="3" fontId="5" fillId="3" borderId="1" xfId="0" applyNumberFormat="1" applyFont="1" applyFill="1" applyBorder="1" applyAlignment="1" applyProtection="1">
      <alignment horizontal="right" vertical="center"/>
      <protection hidden="1"/>
    </xf>
    <xf numFmtId="43" fontId="5" fillId="6" borderId="1" xfId="0" applyNumberFormat="1" applyFont="1" applyFill="1" applyBorder="1" applyAlignment="1" applyProtection="1">
      <alignment horizontal="right" vertical="center"/>
    </xf>
    <xf numFmtId="0" fontId="4" fillId="0" borderId="3" xfId="0" applyFont="1" applyFill="1" applyBorder="1" applyAlignment="1" applyProtection="1"/>
    <xf numFmtId="0" fontId="4" fillId="0" borderId="6" xfId="0" applyFont="1" applyFill="1" applyBorder="1" applyAlignment="1" applyProtection="1"/>
    <xf numFmtId="0" fontId="4" fillId="0" borderId="7" xfId="0" applyFont="1" applyFill="1" applyBorder="1" applyAlignment="1" applyProtection="1"/>
    <xf numFmtId="43" fontId="4" fillId="6" borderId="1" xfId="0" applyNumberFormat="1" applyFont="1" applyFill="1" applyBorder="1" applyAlignment="1" applyProtection="1">
      <alignment horizontal="right" vertical="center"/>
      <protection hidden="1"/>
    </xf>
    <xf numFmtId="0" fontId="4" fillId="0" borderId="5" xfId="0" applyFont="1" applyFill="1" applyBorder="1" applyAlignment="1" applyProtection="1"/>
    <xf numFmtId="0" fontId="4" fillId="0" borderId="9" xfId="0" applyFont="1" applyFill="1" applyBorder="1" applyAlignment="1" applyProtection="1"/>
    <xf numFmtId="43" fontId="5" fillId="0" borderId="1" xfId="0" applyNumberFormat="1" applyFont="1" applyFill="1" applyBorder="1" applyAlignment="1" applyProtection="1">
      <alignment horizontal="right" vertical="center"/>
      <protection hidden="1"/>
    </xf>
    <xf numFmtId="0" fontId="5" fillId="3" borderId="1" xfId="0" applyFont="1" applyFill="1" applyBorder="1" applyAlignment="1" applyProtection="1">
      <alignment horizontal="right" vertical="center"/>
      <protection hidden="1"/>
    </xf>
    <xf numFmtId="43" fontId="5" fillId="3" borderId="13" xfId="0" applyNumberFormat="1" applyFont="1" applyFill="1" applyBorder="1" applyAlignment="1" applyProtection="1">
      <alignment horizontal="right" vertical="center"/>
      <protection hidden="1"/>
    </xf>
    <xf numFmtId="0" fontId="5" fillId="0" borderId="9" xfId="0" applyFont="1" applyFill="1" applyBorder="1" applyAlignment="1" applyProtection="1"/>
    <xf numFmtId="165" fontId="14" fillId="0" borderId="1" xfId="0" applyNumberFormat="1" applyFont="1" applyFill="1" applyBorder="1" applyAlignment="1" applyProtection="1">
      <alignment horizontal="right" vertical="center"/>
      <protection hidden="1"/>
    </xf>
    <xf numFmtId="165" fontId="13" fillId="3" borderId="1" xfId="0" applyNumberFormat="1" applyFont="1" applyFill="1" applyBorder="1" applyAlignment="1" applyProtection="1">
      <alignment horizontal="right" vertical="center"/>
      <protection hidden="1"/>
    </xf>
    <xf numFmtId="166" fontId="13" fillId="3" borderId="1" xfId="0" applyNumberFormat="1" applyFont="1" applyFill="1" applyBorder="1" applyAlignment="1" applyProtection="1">
      <alignment horizontal="right" vertical="center"/>
      <protection hidden="1"/>
    </xf>
    <xf numFmtId="0" fontId="5" fillId="0" borderId="7" xfId="0" applyFont="1" applyFill="1" applyBorder="1" applyAlignment="1" applyProtection="1"/>
    <xf numFmtId="0" fontId="5" fillId="3" borderId="1" xfId="2" applyFont="1" applyFill="1" applyBorder="1" applyAlignment="1" applyProtection="1">
      <alignment horizontal="center" vertical="center" wrapText="1"/>
      <protection hidden="1"/>
    </xf>
    <xf numFmtId="0" fontId="4" fillId="5" borderId="1" xfId="0" applyNumberFormat="1" applyFont="1" applyFill="1" applyBorder="1" applyAlignment="1" applyProtection="1">
      <alignment horizontal="center" vertical="center"/>
      <protection locked="0" hidden="1"/>
    </xf>
    <xf numFmtId="165" fontId="4" fillId="5" borderId="1" xfId="0" applyNumberFormat="1" applyFont="1" applyFill="1" applyBorder="1" applyAlignment="1" applyProtection="1">
      <alignment horizontal="center" vertical="center"/>
      <protection locked="0"/>
    </xf>
    <xf numFmtId="4" fontId="4" fillId="0" borderId="1" xfId="0" applyNumberFormat="1" applyFont="1" applyFill="1" applyBorder="1" applyAlignment="1" applyProtection="1">
      <alignment horizontal="right" vertical="center"/>
      <protection hidden="1"/>
    </xf>
    <xf numFmtId="4" fontId="4" fillId="0" borderId="1" xfId="1" applyNumberFormat="1" applyFont="1" applyFill="1" applyBorder="1" applyAlignment="1" applyProtection="1">
      <alignment horizontal="right" vertical="center"/>
      <protection hidden="1"/>
    </xf>
    <xf numFmtId="4" fontId="4" fillId="3" borderId="1" xfId="1" applyNumberFormat="1" applyFont="1" applyFill="1" applyBorder="1" applyAlignment="1" applyProtection="1">
      <alignment horizontal="right" vertical="center"/>
      <protection hidden="1"/>
    </xf>
    <xf numFmtId="4" fontId="4" fillId="3" borderId="1" xfId="0" applyNumberFormat="1" applyFont="1" applyFill="1" applyBorder="1" applyAlignment="1" applyProtection="1">
      <alignment horizontal="right" vertical="center"/>
      <protection hidden="1"/>
    </xf>
    <xf numFmtId="0" fontId="5" fillId="0" borderId="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5" xfId="0" applyFont="1" applyFill="1" applyBorder="1" applyAlignment="1" applyProtection="1"/>
    <xf numFmtId="166" fontId="4" fillId="5" borderId="1" xfId="0" applyNumberFormat="1" applyFont="1" applyFill="1" applyBorder="1" applyAlignment="1" applyProtection="1">
      <alignment horizontal="right" vertical="center"/>
      <protection locked="0"/>
    </xf>
    <xf numFmtId="166" fontId="4" fillId="4" borderId="1" xfId="0" applyNumberFormat="1" applyFont="1" applyFill="1" applyBorder="1" applyAlignment="1" applyProtection="1">
      <alignment horizontal="right" vertical="center"/>
    </xf>
    <xf numFmtId="0" fontId="4" fillId="5" borderId="1" xfId="0" applyNumberFormat="1" applyFont="1" applyFill="1" applyBorder="1" applyAlignment="1" applyProtection="1">
      <alignment horizontal="left" vertical="center"/>
      <protection locked="0" hidden="1"/>
    </xf>
    <xf numFmtId="0" fontId="16" fillId="5" borderId="1" xfId="0" applyNumberFormat="1" applyFont="1" applyFill="1" applyBorder="1" applyAlignment="1" applyProtection="1">
      <alignment horizontal="left" vertical="center"/>
      <protection locked="0" hidden="1"/>
    </xf>
    <xf numFmtId="164" fontId="16" fillId="5" borderId="1" xfId="0" applyNumberFormat="1" applyFont="1" applyFill="1" applyBorder="1" applyAlignment="1" applyProtection="1">
      <alignment horizontal="center" vertical="center"/>
      <protection locked="0" hidden="1"/>
    </xf>
    <xf numFmtId="166" fontId="4" fillId="0" borderId="1" xfId="0" applyNumberFormat="1" applyFont="1" applyFill="1" applyBorder="1" applyAlignment="1" applyProtection="1">
      <alignment horizontal="right" vertical="center"/>
      <protection hidden="1"/>
    </xf>
    <xf numFmtId="166" fontId="4" fillId="0" borderId="1" xfId="0" applyNumberFormat="1" applyFont="1" applyFill="1" applyBorder="1" applyAlignment="1" applyProtection="1">
      <alignment horizontal="right" vertical="center"/>
    </xf>
    <xf numFmtId="166" fontId="4" fillId="3" borderId="1" xfId="0" applyNumberFormat="1" applyFont="1" applyFill="1" applyBorder="1" applyAlignment="1" applyProtection="1">
      <alignment horizontal="right" vertical="center"/>
      <protection hidden="1"/>
    </xf>
    <xf numFmtId="0" fontId="17" fillId="0" borderId="0" xfId="0" applyFont="1" applyFill="1" applyBorder="1" applyAlignment="1" applyProtection="1"/>
    <xf numFmtId="0" fontId="10" fillId="0" borderId="0" xfId="0" applyFont="1" applyFill="1" applyBorder="1" applyAlignment="1" applyProtection="1"/>
    <xf numFmtId="0" fontId="5" fillId="0" borderId="0" xfId="0" applyNumberFormat="1" applyFont="1" applyFill="1" applyBorder="1" applyAlignment="1" applyProtection="1">
      <alignment vertical="center"/>
      <protection hidden="1"/>
    </xf>
    <xf numFmtId="0" fontId="10" fillId="0" borderId="0" xfId="0" applyFont="1" applyFill="1" applyBorder="1" applyAlignment="1" applyProtection="1">
      <alignment horizontal="center"/>
    </xf>
    <xf numFmtId="43" fontId="5" fillId="0" borderId="0" xfId="0" applyNumberFormat="1" applyFont="1" applyFill="1" applyBorder="1" applyAlignment="1" applyProtection="1">
      <alignment vertical="center"/>
      <protection hidden="1"/>
    </xf>
    <xf numFmtId="0" fontId="4" fillId="5" borderId="1" xfId="0" applyNumberFormat="1" applyFont="1" applyFill="1" applyBorder="1" applyAlignment="1" applyProtection="1">
      <alignment horizontal="left" vertical="center" wrapText="1"/>
      <protection locked="0" hidden="1"/>
    </xf>
    <xf numFmtId="0" fontId="18" fillId="0" borderId="0" xfId="0" applyFont="1" applyAlignment="1" applyProtection="1"/>
    <xf numFmtId="0" fontId="0" fillId="0" borderId="0" xfId="0" applyFont="1" applyAlignment="1" applyProtection="1">
      <alignment vertical="center"/>
    </xf>
    <xf numFmtId="0" fontId="0" fillId="7" borderId="1" xfId="0" applyFont="1" applyFill="1" applyBorder="1" applyProtection="1"/>
    <xf numFmtId="4" fontId="0" fillId="8" borderId="1" xfId="0" applyNumberFormat="1" applyFont="1" applyFill="1" applyBorder="1" applyProtection="1"/>
    <xf numFmtId="4" fontId="0" fillId="2" borderId="1" xfId="0" applyNumberFormat="1" applyFont="1" applyFill="1" applyBorder="1" applyProtection="1"/>
    <xf numFmtId="4" fontId="0" fillId="7" borderId="1" xfId="0" applyNumberFormat="1" applyFont="1" applyFill="1" applyBorder="1" applyAlignment="1" applyProtection="1">
      <alignment horizontal="right"/>
    </xf>
    <xf numFmtId="1" fontId="0" fillId="0" borderId="12" xfId="0" applyNumberFormat="1" applyFont="1" applyFill="1" applyBorder="1" applyAlignment="1" applyProtection="1">
      <alignment horizontal="center" vertical="center"/>
    </xf>
    <xf numFmtId="0" fontId="0" fillId="0" borderId="1" xfId="0" applyFont="1" applyBorder="1" applyAlignment="1" applyProtection="1">
      <alignment horizontal="left" vertical="center"/>
    </xf>
    <xf numFmtId="0" fontId="0" fillId="0" borderId="1" xfId="0" applyNumberFormat="1" applyFont="1" applyBorder="1" applyAlignment="1" applyProtection="1">
      <alignment horizontal="left" vertical="center"/>
    </xf>
    <xf numFmtId="0" fontId="0" fillId="0" borderId="1" xfId="0" applyNumberFormat="1" applyFont="1" applyFill="1" applyBorder="1" applyAlignment="1" applyProtection="1">
      <alignment horizontal="left" vertical="center"/>
    </xf>
    <xf numFmtId="3" fontId="9" fillId="0" borderId="1" xfId="0" applyNumberFormat="1" applyFont="1" applyFill="1" applyBorder="1" applyAlignment="1" applyProtection="1">
      <alignment horizontal="center" vertical="center"/>
      <protection hidden="1"/>
    </xf>
    <xf numFmtId="4" fontId="5" fillId="0" borderId="1" xfId="0" applyNumberFormat="1" applyFont="1" applyFill="1" applyBorder="1" applyAlignment="1" applyProtection="1">
      <alignment horizontal="right" vertical="center" indent="1"/>
      <protection hidden="1"/>
    </xf>
    <xf numFmtId="0" fontId="6"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23" fillId="0" borderId="0" xfId="4" applyFont="1" applyBorder="1" applyAlignment="1" applyProtection="1">
      <alignment vertical="center"/>
    </xf>
    <xf numFmtId="0" fontId="24" fillId="0" borderId="0" xfId="0" applyFont="1" applyAlignment="1" applyProtection="1">
      <alignment vertical="center"/>
    </xf>
    <xf numFmtId="0" fontId="20" fillId="0" borderId="0" xfId="0" applyFont="1" applyAlignment="1" applyProtection="1">
      <alignment horizontal="left" vertical="center"/>
    </xf>
    <xf numFmtId="0" fontId="20" fillId="0" borderId="0" xfId="0" applyFont="1" applyAlignment="1" applyProtection="1">
      <alignment vertical="center"/>
    </xf>
    <xf numFmtId="4" fontId="14" fillId="0" borderId="1" xfId="0" applyNumberFormat="1" applyFont="1" applyFill="1" applyBorder="1" applyAlignment="1" applyProtection="1">
      <alignment vertical="center"/>
      <protection hidden="1"/>
    </xf>
    <xf numFmtId="4" fontId="14" fillId="0" borderId="12" xfId="0" applyNumberFormat="1" applyFont="1" applyFill="1" applyBorder="1" applyAlignment="1" applyProtection="1">
      <alignment vertical="center"/>
      <protection hidden="1"/>
    </xf>
    <xf numFmtId="0" fontId="0" fillId="0" borderId="1" xfId="0" applyFont="1" applyBorder="1" applyAlignment="1" applyProtection="1">
      <alignment horizontal="center" vertical="center"/>
    </xf>
    <xf numFmtId="0" fontId="5" fillId="0" borderId="0" xfId="0" applyFont="1" applyFill="1" applyBorder="1" applyAlignment="1" applyProtection="1">
      <alignment horizontal="center"/>
    </xf>
    <xf numFmtId="10" fontId="5" fillId="3" borderId="1" xfId="0" applyNumberFormat="1" applyFont="1" applyFill="1" applyBorder="1" applyAlignment="1" applyProtection="1">
      <alignment horizontal="center" vertical="center"/>
      <protection hidden="1"/>
    </xf>
    <xf numFmtId="10" fontId="5" fillId="0" borderId="0" xfId="0" applyNumberFormat="1" applyFont="1" applyFill="1" applyBorder="1" applyAlignment="1" applyProtection="1">
      <alignment horizontal="center" vertical="center"/>
      <protection hidden="1"/>
    </xf>
    <xf numFmtId="0" fontId="26" fillId="0" borderId="0" xfId="0" applyFont="1" applyFill="1" applyBorder="1" applyAlignment="1" applyProtection="1">
      <alignment horizontal="left" vertical="center" wrapText="1"/>
    </xf>
    <xf numFmtId="4" fontId="0" fillId="9" borderId="1" xfId="0" applyNumberFormat="1" applyFont="1" applyFill="1" applyBorder="1" applyAlignment="1" applyProtection="1">
      <alignment horizontal="right"/>
    </xf>
    <xf numFmtId="0" fontId="5" fillId="3" borderId="1"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protection hidden="1"/>
    </xf>
    <xf numFmtId="10" fontId="5"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center"/>
    </xf>
    <xf numFmtId="166" fontId="14" fillId="0" borderId="1" xfId="0" applyNumberFormat="1" applyFont="1" applyFill="1" applyBorder="1" applyAlignment="1" applyProtection="1">
      <alignment horizontal="right" vertical="center"/>
      <protection hidden="1"/>
    </xf>
    <xf numFmtId="0" fontId="0" fillId="7" borderId="1" xfId="0" applyFont="1" applyFill="1" applyBorder="1" applyAlignment="1" applyProtection="1">
      <alignment horizontal="left" vertical="center"/>
    </xf>
    <xf numFmtId="4" fontId="0" fillId="7" borderId="1" xfId="0" applyNumberFormat="1" applyFont="1" applyFill="1" applyBorder="1" applyAlignment="1" applyProtection="1">
      <alignment horizontal="right" vertical="center"/>
    </xf>
    <xf numFmtId="4" fontId="0" fillId="7" borderId="1" xfId="0" applyNumberFormat="1" applyFill="1" applyBorder="1" applyAlignment="1" applyProtection="1">
      <alignment vertical="center"/>
    </xf>
    <xf numFmtId="4" fontId="0" fillId="7" borderId="1" xfId="0" applyNumberFormat="1" applyFill="1" applyBorder="1" applyAlignment="1" applyProtection="1">
      <alignment horizontal="right" vertical="center"/>
    </xf>
    <xf numFmtId="0" fontId="0" fillId="8" borderId="1" xfId="0" applyFont="1" applyFill="1" applyBorder="1" applyAlignment="1" applyProtection="1">
      <alignment horizontal="left" vertical="center"/>
    </xf>
    <xf numFmtId="4" fontId="0" fillId="8" borderId="1" xfId="0" applyNumberFormat="1" applyFont="1" applyFill="1" applyBorder="1" applyAlignment="1" applyProtection="1">
      <alignment horizontal="right" vertical="center"/>
    </xf>
    <xf numFmtId="4" fontId="0" fillId="8" borderId="1" xfId="0" applyNumberFormat="1" applyFill="1" applyBorder="1" applyAlignment="1" applyProtection="1">
      <alignment vertical="center"/>
    </xf>
    <xf numFmtId="4" fontId="0" fillId="8" borderId="1" xfId="0" applyNumberFormat="1" applyFill="1" applyBorder="1" applyAlignment="1" applyProtection="1">
      <alignment horizontal="right" vertical="center"/>
    </xf>
    <xf numFmtId="0" fontId="0" fillId="8" borderId="1" xfId="0" applyFont="1" applyFill="1" applyBorder="1" applyProtection="1"/>
    <xf numFmtId="4" fontId="0" fillId="7" borderId="1" xfId="0" applyNumberFormat="1" applyFont="1" applyFill="1" applyBorder="1" applyProtection="1"/>
    <xf numFmtId="0" fontId="4" fillId="0" borderId="1" xfId="0" applyNumberFormat="1" applyFont="1" applyFill="1" applyBorder="1" applyAlignment="1" applyProtection="1">
      <alignment horizontal="left" vertical="center" wrapText="1"/>
      <protection hidden="1"/>
    </xf>
    <xf numFmtId="0" fontId="16" fillId="0" borderId="1" xfId="0" applyNumberFormat="1" applyFont="1" applyFill="1" applyBorder="1" applyAlignment="1" applyProtection="1">
      <alignment horizontal="left" vertical="center" wrapText="1"/>
      <protection hidden="1"/>
    </xf>
    <xf numFmtId="0" fontId="16" fillId="5" borderId="1" xfId="0" applyNumberFormat="1" applyFont="1" applyFill="1" applyBorder="1" applyAlignment="1" applyProtection="1">
      <alignment horizontal="left" vertical="center" wrapText="1"/>
      <protection locked="0" hidden="1"/>
    </xf>
    <xf numFmtId="3" fontId="38" fillId="5" borderId="1" xfId="0" applyNumberFormat="1" applyFont="1" applyFill="1" applyBorder="1" applyAlignment="1" applyProtection="1">
      <alignment horizontal="right" vertical="center"/>
      <protection locked="0"/>
    </xf>
    <xf numFmtId="0" fontId="12" fillId="3" borderId="1" xfId="0" applyNumberFormat="1" applyFont="1" applyFill="1" applyBorder="1" applyAlignment="1" applyProtection="1">
      <alignment horizontal="center" vertical="center"/>
      <protection hidden="1"/>
    </xf>
    <xf numFmtId="0" fontId="5" fillId="0" borderId="1" xfId="0" applyFont="1" applyBorder="1" applyAlignment="1" applyProtection="1">
      <alignment horizontal="left" vertical="center" indent="1"/>
      <protection hidden="1"/>
    </xf>
    <xf numFmtId="0" fontId="5" fillId="3" borderId="1" xfId="0" applyFont="1" applyFill="1" applyBorder="1" applyAlignment="1" applyProtection="1">
      <alignment horizontal="left" vertical="center" indent="1"/>
      <protection hidden="1"/>
    </xf>
    <xf numFmtId="4" fontId="9" fillId="3" borderId="1" xfId="0" applyNumberFormat="1" applyFont="1" applyFill="1" applyBorder="1" applyAlignment="1" applyProtection="1">
      <alignment horizontal="left" vertical="center" indent="1"/>
      <protection hidden="1"/>
    </xf>
    <xf numFmtId="10" fontId="8" fillId="3" borderId="1" xfId="0" applyNumberFormat="1" applyFont="1" applyFill="1" applyBorder="1" applyAlignment="1" applyProtection="1">
      <alignment horizontal="left" vertical="center"/>
      <protection hidden="1"/>
    </xf>
    <xf numFmtId="4" fontId="9" fillId="0" borderId="1" xfId="0" applyNumberFormat="1" applyFont="1" applyBorder="1" applyAlignment="1" applyProtection="1">
      <alignment horizontal="left" vertical="center" indent="1"/>
      <protection hidden="1"/>
    </xf>
    <xf numFmtId="166" fontId="5" fillId="0" borderId="1" xfId="0" applyNumberFormat="1" applyFont="1" applyFill="1" applyBorder="1" applyAlignment="1" applyProtection="1">
      <alignment horizontal="right" vertical="center"/>
      <protection hidden="1"/>
    </xf>
    <xf numFmtId="0" fontId="11" fillId="3" borderId="1" xfId="0" applyFont="1" applyFill="1" applyBorder="1" applyAlignment="1" applyProtection="1">
      <alignment horizontal="center" vertical="center"/>
      <protection hidden="1"/>
    </xf>
    <xf numFmtId="0" fontId="34" fillId="3" borderId="1" xfId="0" applyFont="1" applyFill="1" applyBorder="1" applyAlignment="1" applyProtection="1">
      <alignment horizontal="center" vertical="center"/>
      <protection hidden="1"/>
    </xf>
    <xf numFmtId="0" fontId="11" fillId="3" borderId="1" xfId="2" applyFont="1" applyFill="1" applyBorder="1" applyAlignment="1" applyProtection="1">
      <alignment horizontal="center" vertical="center"/>
      <protection hidden="1"/>
    </xf>
    <xf numFmtId="0" fontId="8" fillId="0" borderId="1" xfId="0" applyFont="1" applyFill="1" applyBorder="1" applyAlignment="1" applyProtection="1">
      <alignment horizontal="left" vertical="center" indent="1"/>
    </xf>
    <xf numFmtId="0" fontId="5" fillId="5" borderId="2" xfId="0" applyFont="1" applyFill="1" applyBorder="1" applyAlignment="1" applyProtection="1">
      <alignment horizontal="left" vertical="center"/>
      <protection locked="0"/>
    </xf>
    <xf numFmtId="0" fontId="5" fillId="5" borderId="14" xfId="0" applyFont="1" applyFill="1" applyBorder="1" applyAlignment="1" applyProtection="1">
      <alignment horizontal="left" vertical="center"/>
      <protection locked="0"/>
    </xf>
    <xf numFmtId="0" fontId="5" fillId="5" borderId="13" xfId="0" applyFont="1" applyFill="1" applyBorder="1" applyAlignment="1" applyProtection="1">
      <alignment horizontal="left" vertical="center"/>
      <protection locked="0"/>
    </xf>
    <xf numFmtId="0" fontId="5" fillId="3" borderId="1"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protection hidden="1"/>
    </xf>
    <xf numFmtId="0" fontId="5" fillId="3" borderId="12" xfId="0" applyFont="1" applyFill="1" applyBorder="1" applyAlignment="1" applyProtection="1">
      <alignment horizontal="center" vertical="center" wrapText="1"/>
      <protection hidden="1"/>
    </xf>
    <xf numFmtId="10" fontId="12" fillId="3" borderId="1" xfId="0" applyNumberFormat="1" applyFont="1" applyFill="1" applyBorder="1" applyAlignment="1" applyProtection="1">
      <alignment horizontal="center" vertical="center"/>
      <protection hidden="1"/>
    </xf>
    <xf numFmtId="0" fontId="5" fillId="3" borderId="12"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wrapText="1"/>
      <protection hidden="1"/>
    </xf>
    <xf numFmtId="0" fontId="5" fillId="3" borderId="6" xfId="0" applyFont="1" applyFill="1" applyBorder="1" applyAlignment="1" applyProtection="1">
      <alignment horizontal="center" vertical="center" wrapText="1"/>
      <protection hidden="1"/>
    </xf>
    <xf numFmtId="0" fontId="5" fillId="3" borderId="7"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xf>
    <xf numFmtId="0" fontId="5" fillId="0" borderId="6" xfId="0" applyFont="1" applyFill="1" applyBorder="1" applyAlignment="1" applyProtection="1">
      <alignment horizontal="center"/>
    </xf>
    <xf numFmtId="10" fontId="5" fillId="0" borderId="0" xfId="0" applyNumberFormat="1" applyFont="1" applyFill="1" applyBorder="1" applyAlignment="1" applyProtection="1">
      <alignment horizontal="center" vertical="center"/>
      <protection hidden="1"/>
    </xf>
    <xf numFmtId="10" fontId="5" fillId="0" borderId="9" xfId="0" applyNumberFormat="1" applyFont="1" applyFill="1" applyBorder="1" applyAlignment="1" applyProtection="1">
      <alignment horizontal="center" vertical="center"/>
      <protection hidden="1"/>
    </xf>
    <xf numFmtId="10" fontId="33" fillId="3" borderId="1" xfId="0" applyNumberFormat="1" applyFont="1" applyFill="1" applyBorder="1" applyAlignment="1" applyProtection="1">
      <alignment horizontal="left" vertical="center"/>
      <protection hidden="1"/>
    </xf>
    <xf numFmtId="10" fontId="33" fillId="3" borderId="2" xfId="0" applyNumberFormat="1" applyFont="1" applyFill="1" applyBorder="1" applyAlignment="1" applyProtection="1">
      <alignment horizontal="left" vertical="center"/>
      <protection hidden="1"/>
    </xf>
    <xf numFmtId="10" fontId="33" fillId="3" borderId="2" xfId="0" applyNumberFormat="1" applyFont="1" applyFill="1" applyBorder="1" applyAlignment="1" applyProtection="1">
      <alignment horizontal="left" vertical="center" wrapText="1"/>
      <protection hidden="1"/>
    </xf>
    <xf numFmtId="10" fontId="33" fillId="3" borderId="13" xfId="0" applyNumberFormat="1" applyFont="1" applyFill="1" applyBorder="1" applyAlignment="1" applyProtection="1">
      <alignment horizontal="left" vertical="center" wrapText="1"/>
      <protection hidden="1"/>
    </xf>
    <xf numFmtId="0" fontId="5" fillId="0" borderId="7" xfId="0" applyFont="1" applyFill="1" applyBorder="1" applyAlignment="1" applyProtection="1">
      <alignment horizontal="center"/>
    </xf>
    <xf numFmtId="0" fontId="13" fillId="0" borderId="4" xfId="0" applyFont="1" applyFill="1" applyBorder="1" applyAlignment="1" applyProtection="1">
      <alignment horizontal="center"/>
    </xf>
    <xf numFmtId="0" fontId="13" fillId="0" borderId="8"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0" xfId="0" applyFont="1" applyFill="1" applyBorder="1" applyAlignment="1" applyProtection="1">
      <alignment horizontal="center"/>
    </xf>
    <xf numFmtId="172" fontId="25" fillId="0" borderId="11" xfId="0" applyNumberFormat="1" applyFont="1" applyFill="1" applyBorder="1" applyAlignment="1" applyProtection="1">
      <alignment horizontal="right" vertical="center" indent="1"/>
      <protection hidden="1"/>
    </xf>
    <xf numFmtId="172" fontId="25" fillId="0" borderId="12" xfId="0" applyNumberFormat="1" applyFont="1" applyFill="1" applyBorder="1" applyAlignment="1" applyProtection="1">
      <alignment horizontal="right" vertical="center" indent="1"/>
      <protection hidden="1"/>
    </xf>
    <xf numFmtId="169" fontId="25" fillId="0" borderId="10" xfId="0" applyNumberFormat="1" applyFont="1" applyFill="1" applyBorder="1" applyAlignment="1" applyProtection="1">
      <alignment horizontal="right" vertical="center" indent="1"/>
      <protection hidden="1"/>
    </xf>
    <xf numFmtId="169" fontId="25" fillId="0" borderId="12" xfId="0" applyNumberFormat="1" applyFont="1" applyFill="1" applyBorder="1" applyAlignment="1" applyProtection="1">
      <alignment horizontal="right" vertical="center" indent="1"/>
      <protection hidden="1"/>
    </xf>
    <xf numFmtId="168" fontId="25" fillId="0" borderId="10" xfId="0" applyNumberFormat="1" applyFont="1" applyFill="1" applyBorder="1" applyAlignment="1" applyProtection="1">
      <alignment horizontal="right" vertical="center" indent="1"/>
      <protection hidden="1"/>
    </xf>
    <xf numFmtId="168" fontId="25" fillId="0" borderId="12" xfId="0" applyNumberFormat="1" applyFont="1" applyFill="1" applyBorder="1" applyAlignment="1" applyProtection="1">
      <alignment horizontal="right" vertical="center" indent="1"/>
      <protection hidden="1"/>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2" xfId="0" applyFont="1" applyFill="1" applyBorder="1" applyAlignment="1" applyProtection="1">
      <alignment horizontal="left" vertical="center"/>
    </xf>
    <xf numFmtId="0" fontId="33" fillId="3" borderId="14" xfId="0" applyFont="1" applyFill="1" applyBorder="1" applyAlignment="1" applyProtection="1">
      <alignment horizontal="left" vertical="center"/>
    </xf>
    <xf numFmtId="0" fontId="5" fillId="3" borderId="12" xfId="2" applyFont="1" applyFill="1" applyBorder="1" applyAlignment="1" applyProtection="1">
      <alignment horizontal="center" vertical="center"/>
      <protection hidden="1"/>
    </xf>
    <xf numFmtId="0" fontId="5" fillId="3" borderId="1" xfId="2" applyFont="1" applyFill="1" applyBorder="1" applyAlignment="1" applyProtection="1">
      <alignment horizontal="center" vertical="center"/>
      <protection hidden="1"/>
    </xf>
    <xf numFmtId="0" fontId="5" fillId="3" borderId="12" xfId="2" applyFont="1" applyFill="1" applyBorder="1" applyAlignment="1" applyProtection="1">
      <alignment horizontal="center" vertical="center" wrapText="1"/>
      <protection hidden="1"/>
    </xf>
    <xf numFmtId="167" fontId="25" fillId="0" borderId="9" xfId="0" applyNumberFormat="1" applyFont="1" applyFill="1" applyBorder="1" applyAlignment="1" applyProtection="1">
      <alignment horizontal="right" vertical="center" indent="1"/>
      <protection hidden="1"/>
    </xf>
    <xf numFmtId="167" fontId="25" fillId="0" borderId="7" xfId="0" applyNumberFormat="1" applyFont="1" applyFill="1" applyBorder="1" applyAlignment="1" applyProtection="1">
      <alignment horizontal="right" vertical="center" indent="1"/>
      <protection hidden="1"/>
    </xf>
    <xf numFmtId="171" fontId="25" fillId="0" borderId="8" xfId="0" applyNumberFormat="1" applyFont="1" applyFill="1" applyBorder="1" applyAlignment="1" applyProtection="1">
      <alignment horizontal="right" vertical="center" indent="1"/>
      <protection hidden="1"/>
    </xf>
    <xf numFmtId="171" fontId="25" fillId="0" borderId="7" xfId="0" applyNumberFormat="1" applyFont="1" applyFill="1" applyBorder="1" applyAlignment="1" applyProtection="1">
      <alignment horizontal="right" vertical="center" indent="1"/>
      <protection hidden="1"/>
    </xf>
    <xf numFmtId="170" fontId="25" fillId="0" borderId="8" xfId="0" applyNumberFormat="1" applyFont="1" applyFill="1" applyBorder="1" applyAlignment="1" applyProtection="1">
      <alignment horizontal="right" vertical="center" indent="1"/>
      <protection hidden="1"/>
    </xf>
    <xf numFmtId="170" fontId="25" fillId="0" borderId="7" xfId="0" applyNumberFormat="1" applyFont="1" applyFill="1" applyBorder="1" applyAlignment="1" applyProtection="1">
      <alignment horizontal="right" vertical="center" indent="1"/>
      <protection hidden="1"/>
    </xf>
    <xf numFmtId="0" fontId="5" fillId="3" borderId="10" xfId="0" applyFont="1" applyFill="1" applyBorder="1" applyAlignment="1" applyProtection="1">
      <alignment horizontal="center" vertical="center" wrapText="1"/>
      <protection hidden="1"/>
    </xf>
    <xf numFmtId="0" fontId="13" fillId="3" borderId="10" xfId="0" applyFont="1" applyFill="1" applyBorder="1" applyAlignment="1" applyProtection="1">
      <alignment horizontal="center" vertical="center"/>
    </xf>
    <xf numFmtId="0" fontId="13" fillId="3" borderId="11"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166" fontId="14" fillId="0" borderId="4" xfId="0" applyNumberFormat="1" applyFont="1" applyFill="1" applyBorder="1" applyAlignment="1" applyProtection="1">
      <alignment horizontal="right" vertical="center"/>
      <protection hidden="1"/>
    </xf>
    <xf numFmtId="166" fontId="14" fillId="0" borderId="8" xfId="0" applyNumberFormat="1" applyFont="1" applyFill="1" applyBorder="1" applyAlignment="1" applyProtection="1">
      <alignment horizontal="right" vertical="center"/>
      <protection hidden="1"/>
    </xf>
    <xf numFmtId="166" fontId="14" fillId="0" borderId="5" xfId="0" applyNumberFormat="1" applyFont="1" applyFill="1" applyBorder="1" applyAlignment="1" applyProtection="1">
      <alignment horizontal="right" vertical="center"/>
      <protection hidden="1"/>
    </xf>
    <xf numFmtId="166" fontId="14" fillId="0" borderId="9" xfId="0" applyNumberFormat="1" applyFont="1" applyFill="1" applyBorder="1" applyAlignment="1" applyProtection="1">
      <alignment horizontal="right" vertical="center"/>
      <protection hidden="1"/>
    </xf>
    <xf numFmtId="166" fontId="14" fillId="0" borderId="3" xfId="0" applyNumberFormat="1" applyFont="1" applyFill="1" applyBorder="1" applyAlignment="1" applyProtection="1">
      <alignment horizontal="right" vertical="center"/>
      <protection hidden="1"/>
    </xf>
    <xf numFmtId="166" fontId="14" fillId="0" borderId="7" xfId="0" applyNumberFormat="1" applyFont="1" applyFill="1" applyBorder="1" applyAlignment="1" applyProtection="1">
      <alignment horizontal="right" vertical="center"/>
      <protection hidden="1"/>
    </xf>
    <xf numFmtId="0" fontId="33" fillId="3" borderId="1" xfId="0" applyFont="1" applyFill="1" applyBorder="1" applyAlignment="1" applyProtection="1">
      <alignment horizontal="left" vertical="center"/>
    </xf>
    <xf numFmtId="166" fontId="14" fillId="0" borderId="1" xfId="0" applyNumberFormat="1" applyFont="1" applyFill="1" applyBorder="1" applyAlignment="1" applyProtection="1">
      <alignment horizontal="right" vertical="center"/>
      <protection hidden="1"/>
    </xf>
    <xf numFmtId="166" fontId="14" fillId="0" borderId="10" xfId="0" applyNumberFormat="1" applyFont="1" applyFill="1" applyBorder="1" applyAlignment="1" applyProtection="1">
      <alignment horizontal="right" vertical="center"/>
      <protection hidden="1"/>
    </xf>
    <xf numFmtId="166" fontId="14" fillId="0" borderId="11" xfId="0" applyNumberFormat="1" applyFont="1" applyFill="1" applyBorder="1" applyAlignment="1" applyProtection="1">
      <alignment horizontal="right" vertical="center"/>
      <protection hidden="1"/>
    </xf>
    <xf numFmtId="166" fontId="14" fillId="0" borderId="12" xfId="0" applyNumberFormat="1" applyFont="1" applyFill="1" applyBorder="1" applyAlignment="1" applyProtection="1">
      <alignment horizontal="right" vertical="center"/>
      <protection hidden="1"/>
    </xf>
    <xf numFmtId="43" fontId="4" fillId="6" borderId="10" xfId="0" applyNumberFormat="1" applyFont="1" applyFill="1" applyBorder="1" applyAlignment="1" applyProtection="1">
      <alignment horizontal="center" vertical="center"/>
    </xf>
    <xf numFmtId="43" fontId="4" fillId="6" borderId="11" xfId="0" applyNumberFormat="1" applyFont="1" applyFill="1" applyBorder="1" applyAlignment="1" applyProtection="1">
      <alignment horizontal="center" vertical="center"/>
    </xf>
    <xf numFmtId="43" fontId="4" fillId="6" borderId="12"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xf>
    <xf numFmtId="0" fontId="6" fillId="3" borderId="14" xfId="0" applyFont="1" applyFill="1" applyBorder="1" applyAlignment="1" applyProtection="1">
      <alignment horizontal="center" vertical="center" wrapText="1"/>
    </xf>
    <xf numFmtId="0" fontId="6" fillId="3" borderId="4" xfId="0" applyFont="1" applyFill="1" applyBorder="1" applyAlignment="1" applyProtection="1">
      <alignment horizontal="left" vertical="center" wrapText="1" indent="1"/>
    </xf>
    <xf numFmtId="0" fontId="6" fillId="3" borderId="15" xfId="0" applyFont="1" applyFill="1" applyBorder="1" applyAlignment="1" applyProtection="1">
      <alignment horizontal="left" vertical="center" wrapText="1" indent="1"/>
    </xf>
    <xf numFmtId="0" fontId="6" fillId="3" borderId="8" xfId="0" applyFont="1" applyFill="1" applyBorder="1" applyAlignment="1" applyProtection="1">
      <alignment horizontal="left" vertical="center" wrapText="1" indent="1"/>
    </xf>
    <xf numFmtId="0" fontId="6" fillId="3" borderId="3" xfId="0" applyFont="1" applyFill="1" applyBorder="1" applyAlignment="1" applyProtection="1">
      <alignment horizontal="left" vertical="center" wrapText="1" indent="1"/>
    </xf>
    <xf numFmtId="0" fontId="6" fillId="3" borderId="6" xfId="0" applyFont="1" applyFill="1" applyBorder="1" applyAlignment="1" applyProtection="1">
      <alignment horizontal="left" vertical="center" wrapText="1" indent="1"/>
    </xf>
    <xf numFmtId="0" fontId="6" fillId="3" borderId="7" xfId="0" applyFont="1" applyFill="1" applyBorder="1" applyAlignment="1" applyProtection="1">
      <alignment horizontal="left" vertical="center" wrapText="1" indent="1"/>
    </xf>
    <xf numFmtId="0" fontId="32" fillId="3" borderId="2" xfId="0" applyFont="1" applyFill="1" applyBorder="1" applyAlignment="1" applyProtection="1">
      <alignment horizontal="left" vertical="center" wrapText="1" indent="1"/>
    </xf>
    <xf numFmtId="0" fontId="6" fillId="3" borderId="14" xfId="0" applyFont="1" applyFill="1" applyBorder="1" applyAlignment="1" applyProtection="1">
      <alignment horizontal="left" vertical="center" indent="1"/>
    </xf>
    <xf numFmtId="0" fontId="6" fillId="3" borderId="13" xfId="0" applyFont="1" applyFill="1" applyBorder="1" applyAlignment="1" applyProtection="1">
      <alignment horizontal="left" vertical="center" indent="1"/>
    </xf>
    <xf numFmtId="0" fontId="6" fillId="3" borderId="13" xfId="0" applyFont="1" applyFill="1" applyBorder="1" applyAlignment="1" applyProtection="1">
      <alignment horizontal="center" vertical="center" wrapText="1"/>
    </xf>
    <xf numFmtId="0" fontId="27" fillId="0" borderId="0" xfId="0" applyFont="1" applyAlignment="1" applyProtection="1">
      <alignment horizontal="left" vertical="center" wrapText="1"/>
    </xf>
    <xf numFmtId="0" fontId="29" fillId="0" borderId="0" xfId="0" applyFont="1" applyAlignment="1" applyProtection="1">
      <alignment horizontal="left" vertical="center"/>
    </xf>
    <xf numFmtId="0" fontId="30" fillId="3" borderId="1" xfId="0" applyFont="1" applyFill="1" applyBorder="1" applyAlignment="1" applyProtection="1">
      <alignment horizontal="center" vertical="center"/>
    </xf>
    <xf numFmtId="0" fontId="1" fillId="0" borderId="0" xfId="2" applyBorder="1" applyAlignment="1" applyProtection="1">
      <alignment horizontal="left" vertical="center" wrapText="1"/>
      <protection locked="0"/>
    </xf>
    <xf numFmtId="0" fontId="22" fillId="0" borderId="0" xfId="2" applyFont="1" applyBorder="1" applyAlignment="1" applyProtection="1">
      <alignment horizontal="left" vertical="center" wrapText="1"/>
      <protection locked="0"/>
    </xf>
    <xf numFmtId="0" fontId="1" fillId="0" borderId="0" xfId="2" applyBorder="1" applyAlignment="1" applyProtection="1">
      <alignment horizontal="left" vertical="center"/>
      <protection locked="0"/>
    </xf>
    <xf numFmtId="0" fontId="22" fillId="0" borderId="0" xfId="2" applyFont="1" applyBorder="1" applyAlignment="1" applyProtection="1">
      <alignment horizontal="left" vertical="center"/>
      <protection locked="0"/>
    </xf>
  </cellXfs>
  <cellStyles count="5">
    <cellStyle name="Comma" xfId="1" builtinId="3"/>
    <cellStyle name="Hyperlink" xfId="2" builtinId="8"/>
    <cellStyle name="Hyperlink 2" xfId="4"/>
    <cellStyle name="Normal" xfId="0" builtinId="0"/>
    <cellStyle name="Normal 2" xfId="3"/>
  </cellStyles>
  <dxfs count="792">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1"/>
      </font>
      <fill>
        <patternFill>
          <bgColor rgb="FFFF0000"/>
        </patternFill>
      </fill>
    </dxf>
    <dxf>
      <fill>
        <patternFill>
          <bgColor rgb="FFFF0000"/>
        </patternFill>
      </fill>
    </dxf>
    <dxf>
      <font>
        <b/>
        <i val="0"/>
        <color theme="1"/>
      </font>
      <fill>
        <patternFill>
          <bgColor rgb="FFFF0000"/>
        </patternFill>
      </fill>
    </dxf>
    <dxf>
      <font>
        <b/>
        <i val="0"/>
        <color theme="1"/>
      </font>
      <fill>
        <patternFill>
          <bgColor rgb="FFFF0000"/>
        </patternFill>
      </fill>
    </dxf>
    <dxf>
      <font>
        <b/>
        <i val="0"/>
        <color theme="1"/>
      </font>
      <fill>
        <patternFill>
          <bgColor rgb="FFFF0000"/>
        </patternFill>
      </fill>
    </dxf>
    <dxf>
      <font>
        <b/>
        <i val="0"/>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1</xdr:col>
      <xdr:colOff>161925</xdr:colOff>
      <xdr:row>4</xdr:row>
      <xdr:rowOff>6164</xdr:rowOff>
    </xdr:to>
    <xdr:pic>
      <xdr:nvPicPr>
        <xdr:cNvPr id="2" name="Picture 8" descr="educ-traini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14325"/>
          <a:ext cx="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2385532</xdr:colOff>
      <xdr:row>4</xdr:row>
      <xdr:rowOff>165520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059" y="156882"/>
          <a:ext cx="3057885" cy="8602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83820</xdr:colOff>
          <xdr:row>1</xdr:row>
          <xdr:rowOff>76200</xdr:rowOff>
        </xdr:from>
        <xdr:to>
          <xdr:col>1</xdr:col>
          <xdr:colOff>1668780</xdr:colOff>
          <xdr:row>1</xdr:row>
          <xdr:rowOff>441960</xdr:rowOff>
        </xdr:to>
        <xdr:sp macro="" textlink="">
          <xdr:nvSpPr>
            <xdr:cNvPr id="3225" name="Button 1" hidden="1">
              <a:extLst>
                <a:ext uri="{63B3BB69-23CF-44E3-9099-C40C66FF867C}">
                  <a14:compatExt spid="_x0000_s322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1744980</xdr:colOff>
          <xdr:row>1</xdr:row>
          <xdr:rowOff>76200</xdr:rowOff>
        </xdr:from>
        <xdr:to>
          <xdr:col>2</xdr:col>
          <xdr:colOff>464820</xdr:colOff>
          <xdr:row>1</xdr:row>
          <xdr:rowOff>441960</xdr:rowOff>
        </xdr:to>
        <xdr:sp macro="" textlink="">
          <xdr:nvSpPr>
            <xdr:cNvPr id="3226" name="Button 2" hidden="1">
              <a:extLst>
                <a:ext uri="{63B3BB69-23CF-44E3-9099-C40C66FF867C}">
                  <a14:compatExt spid="_x0000_s322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556260</xdr:colOff>
          <xdr:row>1</xdr:row>
          <xdr:rowOff>83820</xdr:rowOff>
        </xdr:from>
        <xdr:to>
          <xdr:col>3</xdr:col>
          <xdr:colOff>1638300</xdr:colOff>
          <xdr:row>1</xdr:row>
          <xdr:rowOff>441960</xdr:rowOff>
        </xdr:to>
        <xdr:sp macro="" textlink="">
          <xdr:nvSpPr>
            <xdr:cNvPr id="5152" name="Button 3" hidden="1">
              <a:extLst>
                <a:ext uri="{63B3BB69-23CF-44E3-9099-C40C66FF867C}">
                  <a14:compatExt spid="_x0000_s515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Distance Calculator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83820</xdr:colOff>
          <xdr:row>1</xdr:row>
          <xdr:rowOff>76200</xdr:rowOff>
        </xdr:from>
        <xdr:to>
          <xdr:col>1</xdr:col>
          <xdr:colOff>1668780</xdr:colOff>
          <xdr:row>1</xdr:row>
          <xdr:rowOff>441960</xdr:rowOff>
        </xdr:to>
        <xdr:sp macro="" textlink="">
          <xdr:nvSpPr>
            <xdr:cNvPr id="5153" name="Button 1" hidden="1">
              <a:extLst>
                <a:ext uri="{63B3BB69-23CF-44E3-9099-C40C66FF867C}">
                  <a14:compatExt spid="_x0000_s515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1744980</xdr:colOff>
          <xdr:row>1</xdr:row>
          <xdr:rowOff>76200</xdr:rowOff>
        </xdr:from>
        <xdr:to>
          <xdr:col>2</xdr:col>
          <xdr:colOff>464820</xdr:colOff>
          <xdr:row>1</xdr:row>
          <xdr:rowOff>441960</xdr:rowOff>
        </xdr:to>
        <xdr:sp macro="" textlink="">
          <xdr:nvSpPr>
            <xdr:cNvPr id="5154" name="Button 2" hidden="1">
              <a:extLst>
                <a:ext uri="{63B3BB69-23CF-44E3-9099-C40C66FF867C}">
                  <a14:compatExt spid="_x0000_s515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83820</xdr:colOff>
          <xdr:row>1</xdr:row>
          <xdr:rowOff>76200</xdr:rowOff>
        </xdr:from>
        <xdr:to>
          <xdr:col>1</xdr:col>
          <xdr:colOff>1668780</xdr:colOff>
          <xdr:row>1</xdr:row>
          <xdr:rowOff>441960</xdr:rowOff>
        </xdr:to>
        <xdr:sp macro="" textlink="">
          <xdr:nvSpPr>
            <xdr:cNvPr id="8208" name="Button 1" hidden="1">
              <a:extLst>
                <a:ext uri="{63B3BB69-23CF-44E3-9099-C40C66FF867C}">
                  <a14:compatExt spid="_x0000_s820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1744980</xdr:colOff>
          <xdr:row>1</xdr:row>
          <xdr:rowOff>76200</xdr:rowOff>
        </xdr:from>
        <xdr:to>
          <xdr:col>2</xdr:col>
          <xdr:colOff>464820</xdr:colOff>
          <xdr:row>1</xdr:row>
          <xdr:rowOff>441960</xdr:rowOff>
        </xdr:to>
        <xdr:sp macro="" textlink="">
          <xdr:nvSpPr>
            <xdr:cNvPr id="8209" name="Button 2" hidden="1">
              <a:extLst>
                <a:ext uri="{63B3BB69-23CF-44E3-9099-C40C66FF867C}">
                  <a14:compatExt spid="_x0000_s820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83820</xdr:colOff>
          <xdr:row>1</xdr:row>
          <xdr:rowOff>76200</xdr:rowOff>
        </xdr:from>
        <xdr:to>
          <xdr:col>1</xdr:col>
          <xdr:colOff>1668780</xdr:colOff>
          <xdr:row>1</xdr:row>
          <xdr:rowOff>441960</xdr:rowOff>
        </xdr:to>
        <xdr:sp macro="" textlink="">
          <xdr:nvSpPr>
            <xdr:cNvPr id="34831" name="Button 1" hidden="1">
              <a:extLst>
                <a:ext uri="{63B3BB69-23CF-44E3-9099-C40C66FF867C}">
                  <a14:compatExt spid="_x0000_s3483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1744980</xdr:colOff>
          <xdr:row>1</xdr:row>
          <xdr:rowOff>76200</xdr:rowOff>
        </xdr:from>
        <xdr:to>
          <xdr:col>2</xdr:col>
          <xdr:colOff>464820</xdr:colOff>
          <xdr:row>1</xdr:row>
          <xdr:rowOff>441960</xdr:rowOff>
        </xdr:to>
        <xdr:sp macro="" textlink="">
          <xdr:nvSpPr>
            <xdr:cNvPr id="34832" name="Button 2" hidden="1">
              <a:extLst>
                <a:ext uri="{63B3BB69-23CF-44E3-9099-C40C66FF867C}">
                  <a14:compatExt spid="_x0000_s3483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1485900</xdr:colOff>
          <xdr:row>1</xdr:row>
          <xdr:rowOff>83820</xdr:rowOff>
        </xdr:from>
        <xdr:to>
          <xdr:col>2</xdr:col>
          <xdr:colOff>3284220</xdr:colOff>
          <xdr:row>1</xdr:row>
          <xdr:rowOff>441960</xdr:rowOff>
        </xdr:to>
        <xdr:sp macro="" textlink="">
          <xdr:nvSpPr>
            <xdr:cNvPr id="23572" name="Button 3" hidden="1">
              <a:extLst>
                <a:ext uri="{63B3BB69-23CF-44E3-9099-C40C66FF867C}">
                  <a14:compatExt spid="_x0000_s2357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Distance Calculator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83820</xdr:colOff>
          <xdr:row>1</xdr:row>
          <xdr:rowOff>76200</xdr:rowOff>
        </xdr:from>
        <xdr:to>
          <xdr:col>1</xdr:col>
          <xdr:colOff>1668780</xdr:colOff>
          <xdr:row>1</xdr:row>
          <xdr:rowOff>441960</xdr:rowOff>
        </xdr:to>
        <xdr:sp macro="" textlink="">
          <xdr:nvSpPr>
            <xdr:cNvPr id="23573" name="Button 1" hidden="1">
              <a:extLst>
                <a:ext uri="{63B3BB69-23CF-44E3-9099-C40C66FF867C}">
                  <a14:compatExt spid="_x0000_s2357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1744980</xdr:colOff>
          <xdr:row>1</xdr:row>
          <xdr:rowOff>76200</xdr:rowOff>
        </xdr:from>
        <xdr:to>
          <xdr:col>2</xdr:col>
          <xdr:colOff>1402080</xdr:colOff>
          <xdr:row>1</xdr:row>
          <xdr:rowOff>441960</xdr:rowOff>
        </xdr:to>
        <xdr:sp macro="" textlink="">
          <xdr:nvSpPr>
            <xdr:cNvPr id="23574" name="Button 2" hidden="1">
              <a:extLst>
                <a:ext uri="{63B3BB69-23CF-44E3-9099-C40C66FF867C}">
                  <a14:compatExt spid="_x0000_s2357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1485900</xdr:colOff>
          <xdr:row>1</xdr:row>
          <xdr:rowOff>83820</xdr:rowOff>
        </xdr:from>
        <xdr:to>
          <xdr:col>2</xdr:col>
          <xdr:colOff>3284220</xdr:colOff>
          <xdr:row>1</xdr:row>
          <xdr:rowOff>441960</xdr:rowOff>
        </xdr:to>
        <xdr:sp macro="" textlink="">
          <xdr:nvSpPr>
            <xdr:cNvPr id="36880" name="Button 3" hidden="1">
              <a:extLst>
                <a:ext uri="{63B3BB69-23CF-44E3-9099-C40C66FF867C}">
                  <a14:compatExt spid="_x0000_s3688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Distance Calculator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83820</xdr:colOff>
          <xdr:row>1</xdr:row>
          <xdr:rowOff>76200</xdr:rowOff>
        </xdr:from>
        <xdr:to>
          <xdr:col>1</xdr:col>
          <xdr:colOff>1668780</xdr:colOff>
          <xdr:row>1</xdr:row>
          <xdr:rowOff>441960</xdr:rowOff>
        </xdr:to>
        <xdr:sp macro="" textlink="">
          <xdr:nvSpPr>
            <xdr:cNvPr id="36881" name="Button 1" hidden="1">
              <a:extLst>
                <a:ext uri="{63B3BB69-23CF-44E3-9099-C40C66FF867C}">
                  <a14:compatExt spid="_x0000_s3688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1744980</xdr:colOff>
          <xdr:row>1</xdr:row>
          <xdr:rowOff>76200</xdr:rowOff>
        </xdr:from>
        <xdr:to>
          <xdr:col>2</xdr:col>
          <xdr:colOff>1402080</xdr:colOff>
          <xdr:row>1</xdr:row>
          <xdr:rowOff>441960</xdr:rowOff>
        </xdr:to>
        <xdr:sp macro="" textlink="">
          <xdr:nvSpPr>
            <xdr:cNvPr id="36882" name="Button 2" hidden="1">
              <a:extLst>
                <a:ext uri="{63B3BB69-23CF-44E3-9099-C40C66FF867C}">
                  <a14:compatExt spid="_x0000_s3688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83820</xdr:colOff>
          <xdr:row>1</xdr:row>
          <xdr:rowOff>76200</xdr:rowOff>
        </xdr:from>
        <xdr:to>
          <xdr:col>1</xdr:col>
          <xdr:colOff>1668780</xdr:colOff>
          <xdr:row>1</xdr:row>
          <xdr:rowOff>441960</xdr:rowOff>
        </xdr:to>
        <xdr:sp macro="" textlink="">
          <xdr:nvSpPr>
            <xdr:cNvPr id="35855" name="Button 1" hidden="1">
              <a:extLst>
                <a:ext uri="{63B3BB69-23CF-44E3-9099-C40C66FF867C}">
                  <a14:compatExt spid="_x0000_s3585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1744980</xdr:colOff>
          <xdr:row>1</xdr:row>
          <xdr:rowOff>76200</xdr:rowOff>
        </xdr:from>
        <xdr:to>
          <xdr:col>2</xdr:col>
          <xdr:colOff>1402080</xdr:colOff>
          <xdr:row>1</xdr:row>
          <xdr:rowOff>441960</xdr:rowOff>
        </xdr:to>
        <xdr:sp macro="" textlink="">
          <xdr:nvSpPr>
            <xdr:cNvPr id="35856" name="Button 2" hidden="1">
              <a:extLst>
                <a:ext uri="{63B3BB69-23CF-44E3-9099-C40C66FF867C}">
                  <a14:compatExt spid="_x0000_s3585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eacea.ec.europa.eu/erasmus-plus/funding/capacity-building-in-field-higher-education-eaca042015_en" TargetMode="External"/><Relationship Id="rId1" Type="http://schemas.openxmlformats.org/officeDocument/2006/relationships/hyperlink" Target="http://ec.europa.eu/programmes/erasmus-plus/discover/guide/index_en.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249977111117893"/>
    <pageSetUpPr fitToPage="1"/>
  </sheetPr>
  <dimension ref="B1:L87"/>
  <sheetViews>
    <sheetView showGridLines="0" tabSelected="1" zoomScale="47" zoomScaleNormal="47" zoomScaleSheetLayoutView="85" workbookViewId="0">
      <selection activeCell="C44" sqref="C44"/>
    </sheetView>
  </sheetViews>
  <sheetFormatPr defaultColWidth="9.109375" defaultRowHeight="18" x14ac:dyDescent="0.35"/>
  <cols>
    <col min="1" max="1" width="1.6640625" style="16" customWidth="1"/>
    <col min="2" max="2" width="10" style="16" customWidth="1"/>
    <col min="3" max="3" width="50" style="17" customWidth="1"/>
    <col min="4" max="4" width="50.6640625" style="16" customWidth="1"/>
    <col min="5" max="5" width="23.6640625" style="16" customWidth="1"/>
    <col min="6" max="12" width="20.6640625" style="16" customWidth="1"/>
    <col min="13" max="13" width="1.6640625" style="16" customWidth="1"/>
    <col min="14" max="16384" width="9.109375" style="16"/>
  </cols>
  <sheetData>
    <row r="1" spans="2:12" ht="9.9" customHeight="1" x14ac:dyDescent="0.35">
      <c r="G1" s="18"/>
      <c r="H1" s="18"/>
      <c r="I1" s="18"/>
      <c r="J1" s="18"/>
      <c r="K1" s="18"/>
      <c r="L1" s="18"/>
    </row>
    <row r="2" spans="2:12" s="21" customFormat="1" x14ac:dyDescent="0.35">
      <c r="B2" s="19"/>
      <c r="C2" s="19"/>
      <c r="D2" s="20"/>
      <c r="E2" s="20"/>
      <c r="F2" s="20"/>
      <c r="G2" s="18"/>
      <c r="H2" s="18"/>
      <c r="I2" s="18"/>
      <c r="J2" s="18"/>
      <c r="K2" s="18"/>
      <c r="L2" s="18"/>
    </row>
    <row r="3" spans="2:12" s="21" customFormat="1" x14ac:dyDescent="0.35">
      <c r="B3" s="19"/>
      <c r="C3" s="19"/>
      <c r="D3" s="22" t="s">
        <v>137</v>
      </c>
      <c r="E3" s="23"/>
      <c r="F3" s="20"/>
      <c r="G3" s="18"/>
      <c r="H3" s="18"/>
      <c r="I3" s="18"/>
      <c r="J3" s="18"/>
      <c r="K3" s="18"/>
      <c r="L3" s="18"/>
    </row>
    <row r="4" spans="2:12" s="21" customFormat="1" ht="20.100000000000001" customHeight="1" x14ac:dyDescent="0.35">
      <c r="B4" s="19"/>
      <c r="D4" s="22" t="s">
        <v>354</v>
      </c>
      <c r="E4" s="24"/>
      <c r="F4" s="24"/>
      <c r="G4" s="24"/>
      <c r="H4" s="24"/>
      <c r="I4" s="24"/>
      <c r="J4" s="24"/>
      <c r="K4" s="24"/>
      <c r="L4" s="24"/>
    </row>
    <row r="5" spans="2:12" s="21" customFormat="1" ht="20.100000000000001" customHeight="1" x14ac:dyDescent="0.35">
      <c r="B5" s="19"/>
      <c r="D5" s="24"/>
      <c r="E5" s="24"/>
      <c r="F5" s="24"/>
      <c r="G5" s="24"/>
      <c r="H5" s="24"/>
      <c r="I5" s="24"/>
      <c r="J5" s="24"/>
      <c r="K5" s="24"/>
      <c r="L5" s="24"/>
    </row>
    <row r="6" spans="2:12" s="21" customFormat="1" ht="9.9" customHeight="1" x14ac:dyDescent="0.35">
      <c r="B6" s="25"/>
      <c r="C6" s="25"/>
      <c r="D6" s="20"/>
      <c r="E6" s="20"/>
      <c r="F6" s="20"/>
      <c r="G6" s="20"/>
      <c r="H6" s="20"/>
      <c r="I6" s="20"/>
      <c r="J6" s="20"/>
      <c r="K6" s="20"/>
    </row>
    <row r="7" spans="2:12" s="21" customFormat="1" ht="24.9" customHeight="1" x14ac:dyDescent="0.35">
      <c r="B7" s="148" t="s">
        <v>1</v>
      </c>
      <c r="C7" s="148"/>
      <c r="D7" s="148"/>
      <c r="E7" s="148"/>
      <c r="F7" s="148"/>
      <c r="G7" s="148"/>
      <c r="H7" s="148"/>
      <c r="I7" s="148"/>
      <c r="J7" s="148"/>
      <c r="K7" s="148"/>
      <c r="L7" s="148"/>
    </row>
    <row r="8" spans="2:12" s="21" customFormat="1" ht="24.9" customHeight="1" x14ac:dyDescent="0.35">
      <c r="B8" s="149" t="s">
        <v>353</v>
      </c>
      <c r="C8" s="149"/>
      <c r="D8" s="149"/>
      <c r="E8" s="149"/>
      <c r="F8" s="149"/>
      <c r="G8" s="149"/>
      <c r="H8" s="149"/>
      <c r="I8" s="149"/>
      <c r="J8" s="149"/>
      <c r="K8" s="149"/>
      <c r="L8" s="149"/>
    </row>
    <row r="9" spans="2:12" s="21" customFormat="1" ht="24.9" customHeight="1" x14ac:dyDescent="0.35">
      <c r="B9" s="150" t="s">
        <v>134</v>
      </c>
      <c r="C9" s="150"/>
      <c r="D9" s="150"/>
      <c r="E9" s="150"/>
      <c r="F9" s="150"/>
      <c r="G9" s="150"/>
      <c r="H9" s="150"/>
      <c r="I9" s="150"/>
      <c r="J9" s="150"/>
      <c r="K9" s="150"/>
      <c r="L9" s="150"/>
    </row>
    <row r="10" spans="2:12" s="21" customFormat="1" ht="20.100000000000001" customHeight="1" x14ac:dyDescent="0.35">
      <c r="B10" s="25"/>
      <c r="C10" s="25"/>
      <c r="D10" s="20"/>
      <c r="E10" s="20"/>
      <c r="F10" s="20"/>
      <c r="G10" s="20"/>
      <c r="H10" s="20"/>
      <c r="I10" s="20"/>
      <c r="J10" s="20"/>
      <c r="K10" s="20"/>
    </row>
    <row r="11" spans="2:12" s="21" customFormat="1" ht="18" customHeight="1" x14ac:dyDescent="0.35">
      <c r="B11" s="142" t="s">
        <v>3</v>
      </c>
      <c r="C11" s="142"/>
      <c r="D11" s="26" t="s">
        <v>333</v>
      </c>
      <c r="E11" s="151" t="str">
        <f>IF(D11="","Please select Action Type",IF(OR(D11="Joint Project",D11="Structural Project"),"","Error Type of Action"))</f>
        <v/>
      </c>
      <c r="F11" s="151"/>
      <c r="G11" s="151"/>
      <c r="H11" s="151"/>
      <c r="I11" s="151"/>
      <c r="J11" s="151"/>
      <c r="K11" s="151"/>
      <c r="L11" s="151"/>
    </row>
    <row r="12" spans="2:12" s="21" customFormat="1" ht="18" customHeight="1" x14ac:dyDescent="0.35">
      <c r="B12" s="142" t="s">
        <v>140</v>
      </c>
      <c r="C12" s="142"/>
      <c r="D12" s="26">
        <v>36</v>
      </c>
      <c r="E12" s="151" t="str">
        <f>IF(D12="","Please select duration",IF(OR(D12=24,D12=36),"","Error duration"))</f>
        <v/>
      </c>
      <c r="F12" s="151"/>
      <c r="G12" s="151"/>
      <c r="H12" s="151"/>
      <c r="I12" s="151"/>
      <c r="J12" s="151"/>
      <c r="K12" s="151"/>
      <c r="L12" s="151"/>
    </row>
    <row r="13" spans="2:12" s="21" customFormat="1" ht="18" customHeight="1" x14ac:dyDescent="0.35">
      <c r="B13" s="142" t="s">
        <v>175</v>
      </c>
      <c r="C13" s="142"/>
      <c r="D13" s="26" t="s">
        <v>383</v>
      </c>
      <c r="E13" s="151" t="str">
        <f>IF(D13="","Please fill in Project Acronym","")</f>
        <v/>
      </c>
      <c r="F13" s="151"/>
      <c r="G13" s="151"/>
      <c r="H13" s="151"/>
      <c r="I13" s="151"/>
      <c r="J13" s="151"/>
      <c r="K13" s="151"/>
      <c r="L13" s="151"/>
    </row>
    <row r="14" spans="2:12" s="21" customFormat="1" ht="18" customHeight="1" x14ac:dyDescent="0.35">
      <c r="B14" s="142" t="s">
        <v>176</v>
      </c>
      <c r="C14" s="142"/>
      <c r="D14" s="152" t="s">
        <v>384</v>
      </c>
      <c r="E14" s="153"/>
      <c r="F14" s="153"/>
      <c r="G14" s="153"/>
      <c r="H14" s="153"/>
      <c r="I14" s="153"/>
      <c r="J14" s="153"/>
      <c r="K14" s="153"/>
      <c r="L14" s="154"/>
    </row>
    <row r="15" spans="2:12" s="21" customFormat="1" ht="20.100000000000001" customHeight="1" x14ac:dyDescent="0.35">
      <c r="B15" s="20"/>
      <c r="C15" s="20"/>
      <c r="D15" s="20"/>
      <c r="E15" s="20"/>
      <c r="F15" s="27"/>
      <c r="G15" s="20"/>
      <c r="H15" s="20"/>
      <c r="I15" s="20"/>
      <c r="J15" s="20"/>
      <c r="K15" s="20"/>
    </row>
    <row r="16" spans="2:12" s="21" customFormat="1" ht="24.9" customHeight="1" x14ac:dyDescent="0.35">
      <c r="B16" s="141" t="s">
        <v>243</v>
      </c>
      <c r="C16" s="141"/>
      <c r="D16" s="141"/>
      <c r="E16" s="141"/>
      <c r="F16" s="141"/>
      <c r="G16" s="141"/>
      <c r="H16" s="141"/>
      <c r="I16" s="141"/>
      <c r="J16" s="141"/>
      <c r="K16" s="141"/>
      <c r="L16" s="141"/>
    </row>
    <row r="17" spans="2:12" s="21" customFormat="1" x14ac:dyDescent="0.35">
      <c r="B17" s="142" t="s">
        <v>172</v>
      </c>
      <c r="C17" s="142"/>
      <c r="D17" s="28">
        <f>'1. Staff costs'!D9</f>
        <v>394764</v>
      </c>
      <c r="E17" s="146" t="str">
        <f>"Cannot exceed 40% of total A."</f>
        <v>Cannot exceed 40% of total A.</v>
      </c>
      <c r="F17" s="146"/>
      <c r="G17" s="146"/>
      <c r="H17" s="146"/>
      <c r="I17" s="146"/>
      <c r="J17" s="146"/>
      <c r="K17" s="146"/>
      <c r="L17" s="146"/>
    </row>
    <row r="18" spans="2:12" s="21" customFormat="1" x14ac:dyDescent="0.35">
      <c r="B18" s="142" t="s">
        <v>195</v>
      </c>
      <c r="C18" s="142"/>
      <c r="D18" s="28">
        <f>'2-3. Travel Costs&amp;Costs of Stay'!D8</f>
        <v>142485</v>
      </c>
      <c r="E18" s="146"/>
      <c r="F18" s="146"/>
      <c r="G18" s="146"/>
      <c r="H18" s="146"/>
      <c r="I18" s="146"/>
      <c r="J18" s="146"/>
      <c r="K18" s="146"/>
      <c r="L18" s="146"/>
    </row>
    <row r="19" spans="2:12" s="21" customFormat="1" x14ac:dyDescent="0.35">
      <c r="B19" s="142" t="s">
        <v>196</v>
      </c>
      <c r="C19" s="142"/>
      <c r="D19" s="28">
        <f>'2-3. Travel Costs&amp;Costs of Stay'!D9</f>
        <v>339000</v>
      </c>
      <c r="E19" s="146"/>
      <c r="F19" s="146"/>
      <c r="G19" s="146"/>
      <c r="H19" s="146"/>
      <c r="I19" s="146"/>
      <c r="J19" s="146"/>
      <c r="K19" s="146"/>
      <c r="L19" s="146"/>
    </row>
    <row r="20" spans="2:12" s="21" customFormat="1" x14ac:dyDescent="0.35">
      <c r="B20" s="142" t="s">
        <v>191</v>
      </c>
      <c r="C20" s="142"/>
      <c r="D20" s="28">
        <f>'4. Equipment Costs'!C4</f>
        <v>48510</v>
      </c>
      <c r="E20" s="146" t="str">
        <f>"Cannot exceed 30% of total A."</f>
        <v>Cannot exceed 30% of total A.</v>
      </c>
      <c r="F20" s="146"/>
      <c r="G20" s="146"/>
      <c r="H20" s="146"/>
      <c r="I20" s="146"/>
      <c r="J20" s="146"/>
      <c r="K20" s="146"/>
      <c r="L20" s="146"/>
    </row>
    <row r="21" spans="2:12" s="21" customFormat="1" x14ac:dyDescent="0.35">
      <c r="B21" s="142" t="s">
        <v>192</v>
      </c>
      <c r="C21" s="142"/>
      <c r="D21" s="28">
        <f>'5. Subcontracting Costs'!C4</f>
        <v>62600</v>
      </c>
      <c r="E21" s="146" t="str">
        <f>"Cannot exceed 10% of total A."</f>
        <v>Cannot exceed 10% of total A.</v>
      </c>
      <c r="F21" s="146"/>
      <c r="G21" s="146"/>
      <c r="H21" s="146"/>
      <c r="I21" s="146"/>
      <c r="J21" s="146"/>
      <c r="K21" s="146"/>
      <c r="L21" s="146"/>
    </row>
    <row r="22" spans="2:12" ht="24.9" customHeight="1" x14ac:dyDescent="0.35">
      <c r="B22" s="143" t="s">
        <v>206</v>
      </c>
      <c r="C22" s="143"/>
      <c r="D22" s="29">
        <f>SUM(D17:D21)</f>
        <v>987359</v>
      </c>
      <c r="E22" s="144" t="str">
        <f>"Should be equal or above EUR 500.000,00 and cannot exceed EUR 1.000.000,00"</f>
        <v>Should be equal or above EUR 500.000,00 and cannot exceed EUR 1.000.000,00</v>
      </c>
      <c r="F22" s="144"/>
      <c r="G22" s="144"/>
      <c r="H22" s="144"/>
      <c r="I22" s="144"/>
      <c r="J22" s="144"/>
      <c r="K22" s="144"/>
      <c r="L22" s="144"/>
    </row>
    <row r="23" spans="2:12" ht="8.1" customHeight="1" x14ac:dyDescent="0.35">
      <c r="B23" s="30"/>
      <c r="C23" s="30"/>
      <c r="D23" s="31"/>
      <c r="E23" s="32"/>
      <c r="F23" s="33"/>
      <c r="G23" s="33"/>
      <c r="H23" s="33"/>
      <c r="I23" s="33"/>
      <c r="J23" s="33"/>
      <c r="K23" s="33"/>
      <c r="L23" s="33"/>
    </row>
    <row r="24" spans="2:12" ht="18" customHeight="1" x14ac:dyDescent="0.35">
      <c r="B24" s="143" t="s">
        <v>334</v>
      </c>
      <c r="C24" s="143"/>
      <c r="D24" s="147">
        <f>SUM(J24:J27)</f>
        <v>0</v>
      </c>
      <c r="E24" s="144" t="s">
        <v>236</v>
      </c>
      <c r="F24" s="144"/>
      <c r="G24" s="143" t="s">
        <v>220</v>
      </c>
      <c r="H24" s="143"/>
      <c r="I24" s="155" t="s">
        <v>346</v>
      </c>
      <c r="J24" s="107">
        <f>SUMIF('B. Special Mob Strand - Student'!E:E,G24,'B. Special Mob Strand - Student'!N:N)</f>
        <v>0</v>
      </c>
      <c r="K24" s="155" t="s">
        <v>335</v>
      </c>
      <c r="L24" s="106">
        <f>SUMIFS('B. Special Mob Strand - Student'!G:G,'B. Special Mob Strand - Student'!E:E,G24,'B. Special Mob Strand - Student'!O:O,"&lt;&gt;Error")</f>
        <v>0</v>
      </c>
    </row>
    <row r="25" spans="2:12" ht="18" customHeight="1" x14ac:dyDescent="0.35">
      <c r="B25" s="143"/>
      <c r="C25" s="143"/>
      <c r="D25" s="147"/>
      <c r="E25" s="144"/>
      <c r="F25" s="144"/>
      <c r="G25" s="143" t="s">
        <v>221</v>
      </c>
      <c r="H25" s="143"/>
      <c r="I25" s="156"/>
      <c r="J25" s="107">
        <f>SUMIF('B. Special Mob Strand - Student'!E:E,G25,'B. Special Mob Strand - Student'!N:N)</f>
        <v>0</v>
      </c>
      <c r="K25" s="155"/>
      <c r="L25" s="106">
        <f>SUMIFS('B. Special Mob Strand - Student'!G:G,'B. Special Mob Strand - Student'!E:E,G25,'B. Special Mob Strand - Student'!O:O,"&lt;&gt;Error")</f>
        <v>0</v>
      </c>
    </row>
    <row r="26" spans="2:12" ht="18" customHeight="1" x14ac:dyDescent="0.35">
      <c r="B26" s="143"/>
      <c r="C26" s="143"/>
      <c r="D26" s="147"/>
      <c r="E26" s="144"/>
      <c r="F26" s="144"/>
      <c r="G26" s="143" t="s">
        <v>224</v>
      </c>
      <c r="H26" s="143"/>
      <c r="I26" s="156"/>
      <c r="J26" s="107">
        <f>SUMIF('B. Special Mob Strand - Staff'!E:E,G26,'B. Special Mob Strand - Staff'!N:N)</f>
        <v>0</v>
      </c>
      <c r="K26" s="155"/>
      <c r="L26" s="106">
        <f>SUMIFS('B. Special Mob Strand - Staff'!G:G,'B. Special Mob Strand - Staff'!E:E,G26,'B. Special Mob Strand - Staff'!O:O,"&lt;&gt;Error")</f>
        <v>0</v>
      </c>
    </row>
    <row r="27" spans="2:12" ht="18" customHeight="1" x14ac:dyDescent="0.35">
      <c r="B27" s="143"/>
      <c r="C27" s="143"/>
      <c r="D27" s="147"/>
      <c r="E27" s="144"/>
      <c r="F27" s="144"/>
      <c r="G27" s="143" t="s">
        <v>225</v>
      </c>
      <c r="H27" s="143"/>
      <c r="I27" s="156"/>
      <c r="J27" s="107">
        <f>SUMIF('B. Special Mob Strand - Staff'!E:E,G27,'B. Special Mob Strand - Staff'!N:N)</f>
        <v>0</v>
      </c>
      <c r="K27" s="155"/>
      <c r="L27" s="106">
        <f>SUMIFS('B. Special Mob Strand - Staff'!G:G,'B. Special Mob Strand - Staff'!E:E,G27,'B. Special Mob Strand - Staff'!O:O,"&lt;&gt;Error")</f>
        <v>0</v>
      </c>
    </row>
    <row r="28" spans="2:12" ht="8.1" customHeight="1" x14ac:dyDescent="0.35">
      <c r="B28" s="30"/>
      <c r="C28" s="30"/>
      <c r="D28" s="31"/>
      <c r="E28" s="32"/>
      <c r="F28" s="33"/>
      <c r="G28" s="33"/>
      <c r="H28" s="33"/>
      <c r="I28" s="33"/>
      <c r="J28" s="33"/>
      <c r="K28" s="33"/>
      <c r="L28" s="33"/>
    </row>
    <row r="29" spans="2:12" s="21" customFormat="1" ht="24.9" customHeight="1" x14ac:dyDescent="0.35">
      <c r="B29" s="143" t="s">
        <v>207</v>
      </c>
      <c r="C29" s="143"/>
      <c r="D29" s="29">
        <f>D22+D24</f>
        <v>987359</v>
      </c>
      <c r="E29" s="145"/>
      <c r="F29" s="145"/>
      <c r="G29" s="145"/>
      <c r="H29" s="145"/>
      <c r="I29" s="145"/>
      <c r="J29" s="145"/>
      <c r="K29" s="145"/>
      <c r="L29" s="145"/>
    </row>
    <row r="30" spans="2:12" s="21" customFormat="1" ht="20.100000000000001" customHeight="1" x14ac:dyDescent="0.35">
      <c r="B30" s="20"/>
      <c r="C30" s="20"/>
      <c r="D30" s="20"/>
      <c r="E30" s="20"/>
      <c r="F30" s="27"/>
      <c r="G30" s="20"/>
      <c r="H30" s="20"/>
      <c r="I30" s="20"/>
      <c r="J30" s="20"/>
      <c r="K30" s="20"/>
    </row>
    <row r="31" spans="2:12" s="21" customFormat="1" ht="24.9" customHeight="1" x14ac:dyDescent="0.35">
      <c r="B31" s="141" t="s">
        <v>185</v>
      </c>
      <c r="C31" s="141"/>
      <c r="D31" s="141"/>
      <c r="E31" s="141"/>
      <c r="F31" s="141"/>
      <c r="G31" s="141"/>
      <c r="H31" s="141"/>
      <c r="I31" s="141"/>
      <c r="J31" s="141"/>
      <c r="K31" s="141"/>
      <c r="L31" s="141"/>
    </row>
    <row r="32" spans="2:12" s="21" customFormat="1" ht="36" x14ac:dyDescent="0.35">
      <c r="B32" s="122" t="s">
        <v>151</v>
      </c>
      <c r="C32" s="35" t="s">
        <v>152</v>
      </c>
      <c r="D32" s="35" t="s">
        <v>0</v>
      </c>
      <c r="E32" s="36" t="s">
        <v>182</v>
      </c>
      <c r="F32" s="36" t="s">
        <v>200</v>
      </c>
      <c r="G32" s="36" t="s">
        <v>201</v>
      </c>
      <c r="H32" s="36" t="s">
        <v>202</v>
      </c>
      <c r="I32" s="36" t="s">
        <v>203</v>
      </c>
      <c r="J32" s="36" t="s">
        <v>204</v>
      </c>
      <c r="K32" s="37" t="s">
        <v>205</v>
      </c>
      <c r="L32" s="38" t="s">
        <v>347</v>
      </c>
    </row>
    <row r="33" spans="2:12" ht="36" x14ac:dyDescent="0.35">
      <c r="B33" s="123" t="s">
        <v>9</v>
      </c>
      <c r="C33" s="44" t="s">
        <v>412</v>
      </c>
      <c r="D33" s="39" t="s">
        <v>55</v>
      </c>
      <c r="E33" s="40" t="str">
        <f t="shared" ref="E33:E87" si="0">IFERROR(IF(D33&lt;&gt;"",VLOOKUP(D33,CountryType,2,FALSE),""),"Country not found")</f>
        <v>Partner Countries</v>
      </c>
      <c r="F33" s="41">
        <f>SUMIF('1. Staff costs'!C:C,B33,'1. Staff costs'!S:S)</f>
        <v>62371</v>
      </c>
      <c r="G33" s="41">
        <f>SUMIF('2-3. Travel Costs&amp;Costs of Stay'!C:C,B33,'2-3. Travel Costs&amp;Costs of Stay'!L:L)</f>
        <v>18010</v>
      </c>
      <c r="H33" s="41">
        <f>SUMIF('2-3. Travel Costs&amp;Costs of Stay'!C:C,B33,'2-3. Travel Costs&amp;Costs of Stay'!M:M)</f>
        <v>51300</v>
      </c>
      <c r="I33" s="41">
        <f>SUMIF('4. Equipment Costs'!C:C,B33,'4. Equipment Costs'!H:H)</f>
        <v>10880</v>
      </c>
      <c r="J33" s="41">
        <f>SUMIF('5. Subcontracting Costs'!C:C,B33,'5. Subcontracting Costs'!H:H)</f>
        <v>18600</v>
      </c>
      <c r="K33" s="42">
        <f>SUMIF('B. Special Mob Strand - Student'!B:B,B33,'B. Special Mob Strand - Student'!N:N)+SUMIF('B. Special Mob Strand - Staff'!B:B,B33,'B. Special Mob Strand - Staff'!N:N)</f>
        <v>0</v>
      </c>
      <c r="L33" s="43">
        <f>SUM(F33:K33)</f>
        <v>161161</v>
      </c>
    </row>
    <row r="34" spans="2:12" x14ac:dyDescent="0.35">
      <c r="B34" s="123" t="s">
        <v>10</v>
      </c>
      <c r="C34" s="44" t="s">
        <v>411</v>
      </c>
      <c r="D34" s="39" t="s">
        <v>55</v>
      </c>
      <c r="E34" s="40" t="str">
        <f t="shared" si="0"/>
        <v>Partner Countries</v>
      </c>
      <c r="F34" s="41">
        <f>SUMIF('1. Staff costs'!C:C,B34,'1. Staff costs'!S:S)</f>
        <v>56138</v>
      </c>
      <c r="G34" s="41">
        <f>SUMIF('2-3. Travel Costs&amp;Costs of Stay'!C:C,B34,'2-3. Travel Costs&amp;Costs of Stay'!L:L)</f>
        <v>18010</v>
      </c>
      <c r="H34" s="41">
        <f>SUMIF('2-3. Travel Costs&amp;Costs of Stay'!C:C,B34,'2-3. Travel Costs&amp;Costs of Stay'!M:M)</f>
        <v>51300</v>
      </c>
      <c r="I34" s="41">
        <f>SUMIF('4. Equipment Costs'!C:C,B34,'4. Equipment Costs'!H:H)</f>
        <v>0</v>
      </c>
      <c r="J34" s="41">
        <f>SUMIF('5. Subcontracting Costs'!C:C,B34,'5. Subcontracting Costs'!H:H)</f>
        <v>26000</v>
      </c>
      <c r="K34" s="42">
        <f>SUMIF('B. Special Mob Strand - Student'!B:B,B34,'B. Special Mob Strand - Student'!N:N)+SUMIF('B. Special Mob Strand - Staff'!B:B,B34,'B. Special Mob Strand - Staff'!N:N)</f>
        <v>0</v>
      </c>
      <c r="L34" s="43">
        <f t="shared" ref="L34:L87" si="1">SUM(F34:K34)</f>
        <v>151448</v>
      </c>
    </row>
    <row r="35" spans="2:12" x14ac:dyDescent="0.35">
      <c r="B35" s="123" t="s">
        <v>11</v>
      </c>
      <c r="C35" s="44" t="s">
        <v>385</v>
      </c>
      <c r="D35" s="39" t="s">
        <v>55</v>
      </c>
      <c r="E35" s="40" t="str">
        <f t="shared" si="0"/>
        <v>Partner Countries</v>
      </c>
      <c r="F35" s="41">
        <f>SUMIF('1. Staff costs'!C:C,B35,'1. Staff costs'!S:S)</f>
        <v>45822</v>
      </c>
      <c r="G35" s="41">
        <f>SUMIF('2-3. Travel Costs&amp;Costs of Stay'!C:C,B35,'2-3. Travel Costs&amp;Costs of Stay'!L:L)</f>
        <v>20265</v>
      </c>
      <c r="H35" s="41">
        <f>SUMIF('2-3. Travel Costs&amp;Costs of Stay'!C:C,B35,'2-3. Travel Costs&amp;Costs of Stay'!M:M)</f>
        <v>49920</v>
      </c>
      <c r="I35" s="41">
        <f>SUMIF('4. Equipment Costs'!C:C,B35,'4. Equipment Costs'!H:H)</f>
        <v>10880</v>
      </c>
      <c r="J35" s="41">
        <f>SUMIF('5. Subcontracting Costs'!C:C,B35,'5. Subcontracting Costs'!H:H)</f>
        <v>3600</v>
      </c>
      <c r="K35" s="42">
        <f>SUMIF('B. Special Mob Strand - Student'!B:B,B35,'B. Special Mob Strand - Student'!N:N)+SUMIF('B. Special Mob Strand - Staff'!B:B,B35,'B. Special Mob Strand - Staff'!N:N)</f>
        <v>0</v>
      </c>
      <c r="L35" s="43">
        <f t="shared" si="1"/>
        <v>130487</v>
      </c>
    </row>
    <row r="36" spans="2:12" x14ac:dyDescent="0.35">
      <c r="B36" s="123" t="s">
        <v>12</v>
      </c>
      <c r="C36" s="44" t="s">
        <v>410</v>
      </c>
      <c r="D36" s="39" t="s">
        <v>55</v>
      </c>
      <c r="E36" s="40" t="str">
        <f t="shared" si="0"/>
        <v>Partner Countries</v>
      </c>
      <c r="F36" s="41">
        <f>SUMIF('1. Staff costs'!C:C,B36,'1. Staff costs'!S:S)</f>
        <v>43141</v>
      </c>
      <c r="G36" s="41">
        <f>SUMIF('2-3. Travel Costs&amp;Costs of Stay'!C:C,B36,'2-3. Travel Costs&amp;Costs of Stay'!L:L)</f>
        <v>20180</v>
      </c>
      <c r="H36" s="41">
        <f>SUMIF('2-3. Travel Costs&amp;Costs of Stay'!C:C,B36,'2-3. Travel Costs&amp;Costs of Stay'!M:M)</f>
        <v>51300</v>
      </c>
      <c r="I36" s="41">
        <f>SUMIF('4. Equipment Costs'!C:C,B36,'4. Equipment Costs'!H:H)</f>
        <v>10880</v>
      </c>
      <c r="J36" s="41">
        <f>SUMIF('5. Subcontracting Costs'!C:C,B36,'5. Subcontracting Costs'!H:H)</f>
        <v>3600</v>
      </c>
      <c r="K36" s="42">
        <f>SUMIF('B. Special Mob Strand - Student'!B:B,B36,'B. Special Mob Strand - Student'!N:N)+SUMIF('B. Special Mob Strand - Staff'!B:B,B36,'B. Special Mob Strand - Staff'!N:N)</f>
        <v>0</v>
      </c>
      <c r="L36" s="43">
        <f t="shared" si="1"/>
        <v>129101</v>
      </c>
    </row>
    <row r="37" spans="2:12" x14ac:dyDescent="0.35">
      <c r="B37" s="123" t="s">
        <v>13</v>
      </c>
      <c r="C37" s="44" t="s">
        <v>386</v>
      </c>
      <c r="D37" s="39" t="s">
        <v>53</v>
      </c>
      <c r="E37" s="40" t="str">
        <f t="shared" si="0"/>
        <v>Programme Countries</v>
      </c>
      <c r="F37" s="41">
        <f>SUMIF('1. Staff costs'!C:C,B37,'1. Staff costs'!S:S)</f>
        <v>34527</v>
      </c>
      <c r="G37" s="41">
        <f>SUMIF('2-3. Travel Costs&amp;Costs of Stay'!C:C,B37,'2-3. Travel Costs&amp;Costs of Stay'!L:L)</f>
        <v>8315</v>
      </c>
      <c r="H37" s="41">
        <f>SUMIF('2-3. Travel Costs&amp;Costs of Stay'!C:C,B37,'2-3. Travel Costs&amp;Costs of Stay'!M:M)</f>
        <v>16920</v>
      </c>
      <c r="I37" s="41">
        <f>SUMIF('4. Equipment Costs'!C:C,B37,'4. Equipment Costs'!H:H)</f>
        <v>0</v>
      </c>
      <c r="J37" s="41">
        <f>SUMIF('5. Subcontracting Costs'!C:C,B37,'5. Subcontracting Costs'!H:H)</f>
        <v>0</v>
      </c>
      <c r="K37" s="42">
        <f>SUMIF('B. Special Mob Strand - Student'!B:B,B37,'B. Special Mob Strand - Student'!N:N)+SUMIF('B. Special Mob Strand - Staff'!B:B,B37,'B. Special Mob Strand - Staff'!N:N)</f>
        <v>0</v>
      </c>
      <c r="L37" s="43">
        <f t="shared" si="1"/>
        <v>59762</v>
      </c>
    </row>
    <row r="38" spans="2:12" x14ac:dyDescent="0.35">
      <c r="B38" s="123" t="s">
        <v>14</v>
      </c>
      <c r="C38" s="44" t="s">
        <v>409</v>
      </c>
      <c r="D38" s="39" t="s">
        <v>40</v>
      </c>
      <c r="E38" s="40" t="str">
        <f t="shared" si="0"/>
        <v>Programme Countries</v>
      </c>
      <c r="F38" s="41">
        <f>SUMIF('1. Staff costs'!C:C,B38,'1. Staff costs'!S:S)</f>
        <v>34592.5</v>
      </c>
      <c r="G38" s="41">
        <f>SUMIF('2-3. Travel Costs&amp;Costs of Stay'!C:C,B38,'2-3. Travel Costs&amp;Costs of Stay'!L:L)</f>
        <v>12735</v>
      </c>
      <c r="H38" s="41">
        <f>SUMIF('2-3. Travel Costs&amp;Costs of Stay'!C:C,B38,'2-3. Travel Costs&amp;Costs of Stay'!M:M)</f>
        <v>16920</v>
      </c>
      <c r="I38" s="41">
        <f>SUMIF('4. Equipment Costs'!C:C,B38,'4. Equipment Costs'!H:H)</f>
        <v>0</v>
      </c>
      <c r="J38" s="41">
        <f>SUMIF('5. Subcontracting Costs'!C:C,B38,'5. Subcontracting Costs'!H:H)</f>
        <v>0</v>
      </c>
      <c r="K38" s="42">
        <f>SUMIF('B. Special Mob Strand - Student'!B:B,B38,'B. Special Mob Strand - Student'!N:N)+SUMIF('B. Special Mob Strand - Staff'!B:B,B38,'B. Special Mob Strand - Staff'!N:N)</f>
        <v>0</v>
      </c>
      <c r="L38" s="43">
        <f t="shared" si="1"/>
        <v>64247.5</v>
      </c>
    </row>
    <row r="39" spans="2:12" x14ac:dyDescent="0.35">
      <c r="B39" s="123" t="s">
        <v>15</v>
      </c>
      <c r="C39" s="44" t="s">
        <v>387</v>
      </c>
      <c r="D39" s="39" t="s">
        <v>48</v>
      </c>
      <c r="E39" s="40" t="str">
        <f t="shared" si="0"/>
        <v>Programme Countries</v>
      </c>
      <c r="F39" s="41">
        <f>SUMIF('1. Staff costs'!C:C,B39,'1. Staff costs'!S:S)</f>
        <v>34546.5</v>
      </c>
      <c r="G39" s="41">
        <f>SUMIF('2-3. Travel Costs&amp;Costs of Stay'!C:C,B39,'2-3. Travel Costs&amp;Costs of Stay'!L:L)</f>
        <v>10445</v>
      </c>
      <c r="H39" s="41">
        <f>SUMIF('2-3. Travel Costs&amp;Costs of Stay'!C:C,B39,'2-3. Travel Costs&amp;Costs of Stay'!M:M)</f>
        <v>17200</v>
      </c>
      <c r="I39" s="41">
        <f>SUMIF('4. Equipment Costs'!C:C,B39,'4. Equipment Costs'!H:H)</f>
        <v>0</v>
      </c>
      <c r="J39" s="41">
        <f>SUMIF('5. Subcontracting Costs'!C:C,B39,'5. Subcontracting Costs'!H:H)</f>
        <v>0</v>
      </c>
      <c r="K39" s="42">
        <f>SUMIF('B. Special Mob Strand - Student'!B:B,B39,'B. Special Mob Strand - Student'!N:N)+SUMIF('B. Special Mob Strand - Staff'!B:B,B39,'B. Special Mob Strand - Staff'!N:N)</f>
        <v>0</v>
      </c>
      <c r="L39" s="43">
        <f t="shared" si="1"/>
        <v>62191.5</v>
      </c>
    </row>
    <row r="40" spans="2:12" x14ac:dyDescent="0.35">
      <c r="B40" s="123" t="s">
        <v>16</v>
      </c>
      <c r="C40" s="44" t="s">
        <v>408</v>
      </c>
      <c r="D40" s="39" t="s">
        <v>55</v>
      </c>
      <c r="E40" s="40" t="str">
        <f t="shared" si="0"/>
        <v>Partner Countries</v>
      </c>
      <c r="F40" s="41">
        <f>SUMIF('1. Staff costs'!C:C,B40,'1. Staff costs'!S:S)</f>
        <v>16339</v>
      </c>
      <c r="G40" s="41">
        <f>SUMIF('2-3. Travel Costs&amp;Costs of Stay'!C:C,B40,'2-3. Travel Costs&amp;Costs of Stay'!L:L)</f>
        <v>8495</v>
      </c>
      <c r="H40" s="41">
        <f>SUMIF('2-3. Travel Costs&amp;Costs of Stay'!C:C,B40,'2-3. Travel Costs&amp;Costs of Stay'!M:M)</f>
        <v>22040</v>
      </c>
      <c r="I40" s="41">
        <f>SUMIF('4. Equipment Costs'!C:C,B40,'4. Equipment Costs'!H:H)</f>
        <v>5290</v>
      </c>
      <c r="J40" s="41">
        <f>SUMIF('5. Subcontracting Costs'!C:C,B40,'5. Subcontracting Costs'!H:H)</f>
        <v>3600</v>
      </c>
      <c r="K40" s="42">
        <f>SUMIF('B. Special Mob Strand - Student'!B:B,B40,'B. Special Mob Strand - Student'!N:N)+SUMIF('B. Special Mob Strand - Staff'!B:B,B40,'B. Special Mob Strand - Staff'!N:N)</f>
        <v>0</v>
      </c>
      <c r="L40" s="43">
        <f t="shared" si="1"/>
        <v>55764</v>
      </c>
    </row>
    <row r="41" spans="2:12" x14ac:dyDescent="0.35">
      <c r="B41" s="123" t="s">
        <v>17</v>
      </c>
      <c r="C41" s="44" t="s">
        <v>406</v>
      </c>
      <c r="D41" s="39" t="s">
        <v>55</v>
      </c>
      <c r="E41" s="40" t="str">
        <f t="shared" si="0"/>
        <v>Partner Countries</v>
      </c>
      <c r="F41" s="41">
        <f>SUMIF('1. Staff costs'!C:C,B41,'1. Staff costs'!S:S)</f>
        <v>16339</v>
      </c>
      <c r="G41" s="41">
        <f>SUMIF('2-3. Travel Costs&amp;Costs of Stay'!C:C,B41,'2-3. Travel Costs&amp;Costs of Stay'!L:L)</f>
        <v>9385</v>
      </c>
      <c r="H41" s="41">
        <f>SUMIF('2-3. Travel Costs&amp;Costs of Stay'!C:C,B41,'2-3. Travel Costs&amp;Costs of Stay'!M:M)</f>
        <v>22040</v>
      </c>
      <c r="I41" s="41">
        <f>SUMIF('4. Equipment Costs'!C:C,B41,'4. Equipment Costs'!H:H)</f>
        <v>5290</v>
      </c>
      <c r="J41" s="41">
        <f>SUMIF('5. Subcontracting Costs'!C:C,B41,'5. Subcontracting Costs'!H:H)</f>
        <v>3600</v>
      </c>
      <c r="K41" s="42">
        <f>SUMIF('B. Special Mob Strand - Student'!B:B,B41,'B. Special Mob Strand - Student'!N:N)+SUMIF('B. Special Mob Strand - Staff'!B:B,B41,'B. Special Mob Strand - Staff'!N:N)</f>
        <v>0</v>
      </c>
      <c r="L41" s="43">
        <f t="shared" si="1"/>
        <v>56654</v>
      </c>
    </row>
    <row r="42" spans="2:12" x14ac:dyDescent="0.35">
      <c r="B42" s="123" t="s">
        <v>18</v>
      </c>
      <c r="C42" s="44" t="s">
        <v>388</v>
      </c>
      <c r="D42" s="39" t="s">
        <v>55</v>
      </c>
      <c r="E42" s="40" t="str">
        <f t="shared" si="0"/>
        <v>Partner Countries</v>
      </c>
      <c r="F42" s="41">
        <f>SUMIF('1. Staff costs'!C:C,B42,'1. Staff costs'!S:S)</f>
        <v>16339</v>
      </c>
      <c r="G42" s="41">
        <f>SUMIF('2-3. Travel Costs&amp;Costs of Stay'!C:C,B42,'2-3. Travel Costs&amp;Costs of Stay'!L:L)</f>
        <v>8030</v>
      </c>
      <c r="H42" s="41">
        <f>SUMIF('2-3. Travel Costs&amp;Costs of Stay'!C:C,B42,'2-3. Travel Costs&amp;Costs of Stay'!M:M)</f>
        <v>22040</v>
      </c>
      <c r="I42" s="41">
        <f>SUMIF('4. Equipment Costs'!C:C,B42,'4. Equipment Costs'!H:H)</f>
        <v>5290</v>
      </c>
      <c r="J42" s="41">
        <f>SUMIF('5. Subcontracting Costs'!C:C,B42,'5. Subcontracting Costs'!H:H)</f>
        <v>3600</v>
      </c>
      <c r="K42" s="42">
        <f>SUMIF('B. Special Mob Strand - Student'!B:B,B42,'B. Special Mob Strand - Student'!N:N)+SUMIF('B. Special Mob Strand - Staff'!B:B,B42,'B. Special Mob Strand - Staff'!N:N)</f>
        <v>0</v>
      </c>
      <c r="L42" s="43">
        <f t="shared" si="1"/>
        <v>55299</v>
      </c>
    </row>
    <row r="43" spans="2:12" x14ac:dyDescent="0.35">
      <c r="B43" s="123" t="s">
        <v>19</v>
      </c>
      <c r="C43" s="44" t="s">
        <v>407</v>
      </c>
      <c r="D43" s="39" t="s">
        <v>4</v>
      </c>
      <c r="E43" s="40" t="str">
        <f t="shared" si="0"/>
        <v>Programme Countries</v>
      </c>
      <c r="F43" s="41">
        <f>SUMIF('1. Staff costs'!C:C,B43,'1. Staff costs'!S:S)</f>
        <v>34609</v>
      </c>
      <c r="G43" s="41">
        <f>SUMIF('2-3. Travel Costs&amp;Costs of Stay'!C:C,B43,'2-3. Travel Costs&amp;Costs of Stay'!L:L)</f>
        <v>8615</v>
      </c>
      <c r="H43" s="41">
        <f>SUMIF('2-3. Travel Costs&amp;Costs of Stay'!C:C,B43,'2-3. Travel Costs&amp;Costs of Stay'!M:M)</f>
        <v>18020</v>
      </c>
      <c r="I43" s="41">
        <f>SUMIF('4. Equipment Costs'!C:C,B43,'4. Equipment Costs'!H:H)</f>
        <v>0</v>
      </c>
      <c r="J43" s="41">
        <f>SUMIF('5. Subcontracting Costs'!C:C,B43,'5. Subcontracting Costs'!H:H)</f>
        <v>0</v>
      </c>
      <c r="K43" s="42">
        <f>SUMIF('B. Special Mob Strand - Student'!B:B,B43,'B. Special Mob Strand - Student'!N:N)+SUMIF('B. Special Mob Strand - Staff'!B:B,B43,'B. Special Mob Strand - Staff'!N:N)</f>
        <v>0</v>
      </c>
      <c r="L43" s="43">
        <f t="shared" si="1"/>
        <v>61244</v>
      </c>
    </row>
    <row r="44" spans="2:12" x14ac:dyDescent="0.35">
      <c r="B44" s="123" t="s">
        <v>20</v>
      </c>
      <c r="C44" s="44"/>
      <c r="D44" s="39"/>
      <c r="E44" s="40" t="str">
        <f t="shared" si="0"/>
        <v/>
      </c>
      <c r="F44" s="41">
        <f>SUMIF('1. Staff costs'!C:C,B44,'1. Staff costs'!S:S)</f>
        <v>0</v>
      </c>
      <c r="G44" s="41">
        <f>SUMIF('2-3. Travel Costs&amp;Costs of Stay'!C:C,B44,'2-3. Travel Costs&amp;Costs of Stay'!L:L)</f>
        <v>0</v>
      </c>
      <c r="H44" s="41">
        <f>SUMIF('2-3. Travel Costs&amp;Costs of Stay'!C:C,B44,'2-3. Travel Costs&amp;Costs of Stay'!M:M)</f>
        <v>0</v>
      </c>
      <c r="I44" s="41">
        <f>SUMIF('4. Equipment Costs'!C:C,B44,'4. Equipment Costs'!H:H)</f>
        <v>0</v>
      </c>
      <c r="J44" s="41">
        <f>SUMIF('5. Subcontracting Costs'!C:C,B44,'5. Subcontracting Costs'!H:H)</f>
        <v>0</v>
      </c>
      <c r="K44" s="42">
        <f>SUMIF('B. Special Mob Strand - Student'!B:B,B44,'B. Special Mob Strand - Student'!N:N)+SUMIF('B. Special Mob Strand - Staff'!B:B,B44,'B. Special Mob Strand - Staff'!N:N)</f>
        <v>0</v>
      </c>
      <c r="L44" s="43">
        <f t="shared" si="1"/>
        <v>0</v>
      </c>
    </row>
    <row r="45" spans="2:12" x14ac:dyDescent="0.35">
      <c r="B45" s="123" t="s">
        <v>161</v>
      </c>
      <c r="C45" s="44"/>
      <c r="D45" s="39"/>
      <c r="E45" s="40" t="str">
        <f t="shared" si="0"/>
        <v/>
      </c>
      <c r="F45" s="41">
        <f>SUMIF('1. Staff costs'!C:C,B45,'1. Staff costs'!S:S)</f>
        <v>0</v>
      </c>
      <c r="G45" s="41">
        <f>SUMIF('2-3. Travel Costs&amp;Costs of Stay'!C:C,B45,'2-3. Travel Costs&amp;Costs of Stay'!L:L)</f>
        <v>0</v>
      </c>
      <c r="H45" s="41">
        <f>SUMIF('2-3. Travel Costs&amp;Costs of Stay'!C:C,B45,'2-3. Travel Costs&amp;Costs of Stay'!M:M)</f>
        <v>0</v>
      </c>
      <c r="I45" s="41">
        <f>SUMIF('4. Equipment Costs'!C:C,B45,'4. Equipment Costs'!H:H)</f>
        <v>0</v>
      </c>
      <c r="J45" s="41">
        <f>SUMIF('5. Subcontracting Costs'!C:C,B45,'5. Subcontracting Costs'!H:H)</f>
        <v>0</v>
      </c>
      <c r="K45" s="42">
        <f>SUMIF('B. Special Mob Strand - Student'!B:B,B45,'B. Special Mob Strand - Student'!N:N)+SUMIF('B. Special Mob Strand - Staff'!B:B,B45,'B. Special Mob Strand - Staff'!N:N)</f>
        <v>0</v>
      </c>
      <c r="L45" s="43">
        <f t="shared" si="1"/>
        <v>0</v>
      </c>
    </row>
    <row r="46" spans="2:12" x14ac:dyDescent="0.35">
      <c r="B46" s="123" t="s">
        <v>21</v>
      </c>
      <c r="C46" s="44"/>
      <c r="D46" s="39"/>
      <c r="E46" s="40" t="str">
        <f t="shared" si="0"/>
        <v/>
      </c>
      <c r="F46" s="41">
        <f>SUMIF('1. Staff costs'!C:C,B46,'1. Staff costs'!S:S)</f>
        <v>0</v>
      </c>
      <c r="G46" s="41">
        <f>SUMIF('2-3. Travel Costs&amp;Costs of Stay'!C:C,B46,'2-3. Travel Costs&amp;Costs of Stay'!L:L)</f>
        <v>0</v>
      </c>
      <c r="H46" s="41">
        <f>SUMIF('2-3. Travel Costs&amp;Costs of Stay'!C:C,B46,'2-3. Travel Costs&amp;Costs of Stay'!M:M)</f>
        <v>0</v>
      </c>
      <c r="I46" s="41">
        <f>SUMIF('4. Equipment Costs'!C:C,B46,'4. Equipment Costs'!H:H)</f>
        <v>0</v>
      </c>
      <c r="J46" s="41">
        <f>SUMIF('5. Subcontracting Costs'!C:C,B46,'5. Subcontracting Costs'!H:H)</f>
        <v>0</v>
      </c>
      <c r="K46" s="42">
        <f>SUMIF('B. Special Mob Strand - Student'!B:B,B46,'B. Special Mob Strand - Student'!N:N)+SUMIF('B. Special Mob Strand - Staff'!B:B,B46,'B. Special Mob Strand - Staff'!N:N)</f>
        <v>0</v>
      </c>
      <c r="L46" s="43">
        <f t="shared" si="1"/>
        <v>0</v>
      </c>
    </row>
    <row r="47" spans="2:12" x14ac:dyDescent="0.35">
      <c r="B47" s="123" t="s">
        <v>22</v>
      </c>
      <c r="C47" s="44"/>
      <c r="D47" s="39"/>
      <c r="E47" s="40" t="str">
        <f t="shared" si="0"/>
        <v/>
      </c>
      <c r="F47" s="41">
        <f>SUMIF('1. Staff costs'!C:C,B47,'1. Staff costs'!S:S)</f>
        <v>0</v>
      </c>
      <c r="G47" s="41">
        <f>SUMIF('2-3. Travel Costs&amp;Costs of Stay'!C:C,B47,'2-3. Travel Costs&amp;Costs of Stay'!L:L)</f>
        <v>0</v>
      </c>
      <c r="H47" s="41">
        <f>SUMIF('2-3. Travel Costs&amp;Costs of Stay'!C:C,B47,'2-3. Travel Costs&amp;Costs of Stay'!M:M)</f>
        <v>0</v>
      </c>
      <c r="I47" s="41">
        <f>SUMIF('4. Equipment Costs'!C:C,B47,'4. Equipment Costs'!H:H)</f>
        <v>0</v>
      </c>
      <c r="J47" s="41">
        <f>SUMIF('5. Subcontracting Costs'!C:C,B47,'5. Subcontracting Costs'!H:H)</f>
        <v>0</v>
      </c>
      <c r="K47" s="42">
        <f>SUMIF('B. Special Mob Strand - Student'!B:B,B47,'B. Special Mob Strand - Student'!N:N)+SUMIF('B. Special Mob Strand - Staff'!B:B,B47,'B. Special Mob Strand - Staff'!N:N)</f>
        <v>0</v>
      </c>
      <c r="L47" s="43">
        <f t="shared" si="1"/>
        <v>0</v>
      </c>
    </row>
    <row r="48" spans="2:12" x14ac:dyDescent="0.35">
      <c r="B48" s="123" t="s">
        <v>23</v>
      </c>
      <c r="C48" s="44"/>
      <c r="D48" s="39"/>
      <c r="E48" s="40" t="str">
        <f t="shared" si="0"/>
        <v/>
      </c>
      <c r="F48" s="41">
        <f>SUMIF('1. Staff costs'!C:C,B48,'1. Staff costs'!S:S)</f>
        <v>0</v>
      </c>
      <c r="G48" s="41">
        <f>SUMIF('2-3. Travel Costs&amp;Costs of Stay'!C:C,B48,'2-3. Travel Costs&amp;Costs of Stay'!L:L)</f>
        <v>0</v>
      </c>
      <c r="H48" s="41">
        <f>SUMIF('2-3. Travel Costs&amp;Costs of Stay'!C:C,B48,'2-3. Travel Costs&amp;Costs of Stay'!M:M)</f>
        <v>0</v>
      </c>
      <c r="I48" s="41">
        <f>SUMIF('4. Equipment Costs'!C:C,B48,'4. Equipment Costs'!H:H)</f>
        <v>0</v>
      </c>
      <c r="J48" s="41">
        <f>SUMIF('5. Subcontracting Costs'!C:C,B48,'5. Subcontracting Costs'!H:H)</f>
        <v>0</v>
      </c>
      <c r="K48" s="42">
        <f>SUMIF('B. Special Mob Strand - Student'!B:B,B48,'B. Special Mob Strand - Student'!N:N)+SUMIF('B. Special Mob Strand - Staff'!B:B,B48,'B. Special Mob Strand - Staff'!N:N)</f>
        <v>0</v>
      </c>
      <c r="L48" s="43">
        <f t="shared" si="1"/>
        <v>0</v>
      </c>
    </row>
    <row r="49" spans="2:12" x14ac:dyDescent="0.35">
      <c r="B49" s="123" t="s">
        <v>24</v>
      </c>
      <c r="C49" s="44"/>
      <c r="D49" s="39"/>
      <c r="E49" s="40" t="str">
        <f t="shared" si="0"/>
        <v/>
      </c>
      <c r="F49" s="41">
        <f>SUMIF('1. Staff costs'!C:C,B49,'1. Staff costs'!S:S)</f>
        <v>0</v>
      </c>
      <c r="G49" s="41">
        <f>SUMIF('2-3. Travel Costs&amp;Costs of Stay'!C:C,B49,'2-3. Travel Costs&amp;Costs of Stay'!L:L)</f>
        <v>0</v>
      </c>
      <c r="H49" s="41">
        <f>SUMIF('2-3. Travel Costs&amp;Costs of Stay'!C:C,B49,'2-3. Travel Costs&amp;Costs of Stay'!M:M)</f>
        <v>0</v>
      </c>
      <c r="I49" s="41">
        <f>SUMIF('4. Equipment Costs'!C:C,B49,'4. Equipment Costs'!H:H)</f>
        <v>0</v>
      </c>
      <c r="J49" s="41">
        <f>SUMIF('5. Subcontracting Costs'!C:C,B49,'5. Subcontracting Costs'!H:H)</f>
        <v>0</v>
      </c>
      <c r="K49" s="42">
        <f>SUMIF('B. Special Mob Strand - Student'!B:B,B49,'B. Special Mob Strand - Student'!N:N)+SUMIF('B. Special Mob Strand - Staff'!B:B,B49,'B. Special Mob Strand - Staff'!N:N)</f>
        <v>0</v>
      </c>
      <c r="L49" s="43">
        <f t="shared" si="1"/>
        <v>0</v>
      </c>
    </row>
    <row r="50" spans="2:12" x14ac:dyDescent="0.35">
      <c r="B50" s="123" t="s">
        <v>25</v>
      </c>
      <c r="C50" s="44"/>
      <c r="D50" s="39"/>
      <c r="E50" s="40" t="str">
        <f t="shared" si="0"/>
        <v/>
      </c>
      <c r="F50" s="41">
        <f>SUMIF('1. Staff costs'!C:C,B50,'1. Staff costs'!S:S)</f>
        <v>0</v>
      </c>
      <c r="G50" s="41">
        <f>SUMIF('2-3. Travel Costs&amp;Costs of Stay'!C:C,B50,'2-3. Travel Costs&amp;Costs of Stay'!L:L)</f>
        <v>0</v>
      </c>
      <c r="H50" s="41">
        <f>SUMIF('2-3. Travel Costs&amp;Costs of Stay'!C:C,B50,'2-3. Travel Costs&amp;Costs of Stay'!M:M)</f>
        <v>0</v>
      </c>
      <c r="I50" s="41">
        <f>SUMIF('4. Equipment Costs'!C:C,B50,'4. Equipment Costs'!H:H)</f>
        <v>0</v>
      </c>
      <c r="J50" s="41">
        <f>SUMIF('5. Subcontracting Costs'!C:C,B50,'5. Subcontracting Costs'!H:H)</f>
        <v>0</v>
      </c>
      <c r="K50" s="42">
        <f>SUMIF('B. Special Mob Strand - Student'!B:B,B50,'B. Special Mob Strand - Student'!N:N)+SUMIF('B. Special Mob Strand - Staff'!B:B,B50,'B. Special Mob Strand - Staff'!N:N)</f>
        <v>0</v>
      </c>
      <c r="L50" s="43">
        <f t="shared" si="1"/>
        <v>0</v>
      </c>
    </row>
    <row r="51" spans="2:12" x14ac:dyDescent="0.35">
      <c r="B51" s="123" t="s">
        <v>26</v>
      </c>
      <c r="C51" s="44"/>
      <c r="D51" s="39"/>
      <c r="E51" s="40" t="str">
        <f t="shared" si="0"/>
        <v/>
      </c>
      <c r="F51" s="41">
        <f>SUMIF('1. Staff costs'!C:C,B51,'1. Staff costs'!S:S)</f>
        <v>0</v>
      </c>
      <c r="G51" s="41">
        <f>SUMIF('2-3. Travel Costs&amp;Costs of Stay'!C:C,B51,'2-3. Travel Costs&amp;Costs of Stay'!L:L)</f>
        <v>0</v>
      </c>
      <c r="H51" s="41">
        <f>SUMIF('2-3. Travel Costs&amp;Costs of Stay'!C:C,B51,'2-3. Travel Costs&amp;Costs of Stay'!M:M)</f>
        <v>0</v>
      </c>
      <c r="I51" s="41">
        <f>SUMIF('4. Equipment Costs'!C:C,B51,'4. Equipment Costs'!H:H)</f>
        <v>0</v>
      </c>
      <c r="J51" s="41">
        <f>SUMIF('5. Subcontracting Costs'!C:C,B51,'5. Subcontracting Costs'!H:H)</f>
        <v>0</v>
      </c>
      <c r="K51" s="42">
        <f>SUMIF('B. Special Mob Strand - Student'!B:B,B51,'B. Special Mob Strand - Student'!N:N)+SUMIF('B. Special Mob Strand - Staff'!B:B,B51,'B. Special Mob Strand - Staff'!N:N)</f>
        <v>0</v>
      </c>
      <c r="L51" s="43">
        <f t="shared" si="1"/>
        <v>0</v>
      </c>
    </row>
    <row r="52" spans="2:12" x14ac:dyDescent="0.35">
      <c r="B52" s="123" t="s">
        <v>27</v>
      </c>
      <c r="C52" s="44"/>
      <c r="D52" s="39"/>
      <c r="E52" s="40" t="str">
        <f t="shared" si="0"/>
        <v/>
      </c>
      <c r="F52" s="41">
        <f>SUMIF('1. Staff costs'!C:C,B52,'1. Staff costs'!S:S)</f>
        <v>0</v>
      </c>
      <c r="G52" s="41">
        <f>SUMIF('2-3. Travel Costs&amp;Costs of Stay'!C:C,B52,'2-3. Travel Costs&amp;Costs of Stay'!L:L)</f>
        <v>0</v>
      </c>
      <c r="H52" s="41">
        <f>SUMIF('2-3. Travel Costs&amp;Costs of Stay'!C:C,B52,'2-3. Travel Costs&amp;Costs of Stay'!M:M)</f>
        <v>0</v>
      </c>
      <c r="I52" s="41">
        <f>SUMIF('4. Equipment Costs'!C:C,B52,'4. Equipment Costs'!H:H)</f>
        <v>0</v>
      </c>
      <c r="J52" s="41">
        <f>SUMIF('5. Subcontracting Costs'!C:C,B52,'5. Subcontracting Costs'!H:H)</f>
        <v>0</v>
      </c>
      <c r="K52" s="42">
        <f>SUMIF('B. Special Mob Strand - Student'!B:B,B52,'B. Special Mob Strand - Student'!N:N)+SUMIF('B. Special Mob Strand - Staff'!B:B,B52,'B. Special Mob Strand - Staff'!N:N)</f>
        <v>0</v>
      </c>
      <c r="L52" s="43">
        <f t="shared" si="1"/>
        <v>0</v>
      </c>
    </row>
    <row r="53" spans="2:12" x14ac:dyDescent="0.35">
      <c r="B53" s="123" t="s">
        <v>112</v>
      </c>
      <c r="C53" s="44"/>
      <c r="D53" s="39"/>
      <c r="E53" s="40" t="str">
        <f t="shared" si="0"/>
        <v/>
      </c>
      <c r="F53" s="41">
        <f>SUMIF('1. Staff costs'!C:C,B53,'1. Staff costs'!S:S)</f>
        <v>0</v>
      </c>
      <c r="G53" s="41">
        <f>SUMIF('2-3. Travel Costs&amp;Costs of Stay'!C:C,B53,'2-3. Travel Costs&amp;Costs of Stay'!L:L)</f>
        <v>0</v>
      </c>
      <c r="H53" s="41">
        <f>SUMIF('2-3. Travel Costs&amp;Costs of Stay'!C:C,B53,'2-3. Travel Costs&amp;Costs of Stay'!M:M)</f>
        <v>0</v>
      </c>
      <c r="I53" s="41">
        <f>SUMIF('4. Equipment Costs'!C:C,B53,'4. Equipment Costs'!H:H)</f>
        <v>0</v>
      </c>
      <c r="J53" s="41">
        <f>SUMIF('5. Subcontracting Costs'!C:C,B53,'5. Subcontracting Costs'!H:H)</f>
        <v>0</v>
      </c>
      <c r="K53" s="42">
        <f>SUMIF('B. Special Mob Strand - Student'!B:B,B53,'B. Special Mob Strand - Student'!N:N)+SUMIF('B. Special Mob Strand - Staff'!B:B,B53,'B. Special Mob Strand - Staff'!N:N)</f>
        <v>0</v>
      </c>
      <c r="L53" s="43">
        <f t="shared" si="1"/>
        <v>0</v>
      </c>
    </row>
    <row r="54" spans="2:12" x14ac:dyDescent="0.35">
      <c r="B54" s="123" t="s">
        <v>113</v>
      </c>
      <c r="C54" s="44"/>
      <c r="D54" s="39"/>
      <c r="E54" s="40" t="str">
        <f t="shared" si="0"/>
        <v/>
      </c>
      <c r="F54" s="41">
        <f>SUMIF('1. Staff costs'!C:C,B54,'1. Staff costs'!S:S)</f>
        <v>0</v>
      </c>
      <c r="G54" s="41">
        <f>SUMIF('2-3. Travel Costs&amp;Costs of Stay'!C:C,B54,'2-3. Travel Costs&amp;Costs of Stay'!L:L)</f>
        <v>0</v>
      </c>
      <c r="H54" s="41">
        <f>SUMIF('2-3. Travel Costs&amp;Costs of Stay'!C:C,B54,'2-3. Travel Costs&amp;Costs of Stay'!M:M)</f>
        <v>0</v>
      </c>
      <c r="I54" s="41">
        <f>SUMIF('4. Equipment Costs'!C:C,B54,'4. Equipment Costs'!H:H)</f>
        <v>0</v>
      </c>
      <c r="J54" s="41">
        <f>SUMIF('5. Subcontracting Costs'!C:C,B54,'5. Subcontracting Costs'!H:H)</f>
        <v>0</v>
      </c>
      <c r="K54" s="42">
        <f>SUMIF('B. Special Mob Strand - Student'!B:B,B54,'B. Special Mob Strand - Student'!N:N)+SUMIF('B. Special Mob Strand - Staff'!B:B,B54,'B. Special Mob Strand - Staff'!N:N)</f>
        <v>0</v>
      </c>
      <c r="L54" s="43">
        <f t="shared" si="1"/>
        <v>0</v>
      </c>
    </row>
    <row r="55" spans="2:12" x14ac:dyDescent="0.35">
      <c r="B55" s="123" t="s">
        <v>114</v>
      </c>
      <c r="C55" s="44"/>
      <c r="D55" s="39"/>
      <c r="E55" s="40" t="str">
        <f t="shared" si="0"/>
        <v/>
      </c>
      <c r="F55" s="41">
        <f>SUMIF('1. Staff costs'!C:C,B55,'1. Staff costs'!S:S)</f>
        <v>0</v>
      </c>
      <c r="G55" s="41">
        <f>SUMIF('2-3. Travel Costs&amp;Costs of Stay'!C:C,B55,'2-3. Travel Costs&amp;Costs of Stay'!L:L)</f>
        <v>0</v>
      </c>
      <c r="H55" s="41">
        <f>SUMIF('2-3. Travel Costs&amp;Costs of Stay'!C:C,B55,'2-3. Travel Costs&amp;Costs of Stay'!M:M)</f>
        <v>0</v>
      </c>
      <c r="I55" s="41">
        <f>SUMIF('4. Equipment Costs'!C:C,B55,'4. Equipment Costs'!H:H)</f>
        <v>0</v>
      </c>
      <c r="J55" s="41">
        <f>SUMIF('5. Subcontracting Costs'!C:C,B55,'5. Subcontracting Costs'!H:H)</f>
        <v>0</v>
      </c>
      <c r="K55" s="42">
        <f>SUMIF('B. Special Mob Strand - Student'!B:B,B55,'B. Special Mob Strand - Student'!N:N)+SUMIF('B. Special Mob Strand - Staff'!B:B,B55,'B. Special Mob Strand - Staff'!N:N)</f>
        <v>0</v>
      </c>
      <c r="L55" s="43">
        <f t="shared" si="1"/>
        <v>0</v>
      </c>
    </row>
    <row r="56" spans="2:12" x14ac:dyDescent="0.35">
      <c r="B56" s="123" t="s">
        <v>115</v>
      </c>
      <c r="C56" s="44"/>
      <c r="D56" s="39"/>
      <c r="E56" s="40" t="str">
        <f t="shared" si="0"/>
        <v/>
      </c>
      <c r="F56" s="41">
        <f>SUMIF('1. Staff costs'!C:C,B56,'1. Staff costs'!S:S)</f>
        <v>0</v>
      </c>
      <c r="G56" s="41">
        <f>SUMIF('2-3. Travel Costs&amp;Costs of Stay'!C:C,B56,'2-3. Travel Costs&amp;Costs of Stay'!L:L)</f>
        <v>0</v>
      </c>
      <c r="H56" s="41">
        <f>SUMIF('2-3. Travel Costs&amp;Costs of Stay'!C:C,B56,'2-3. Travel Costs&amp;Costs of Stay'!M:M)</f>
        <v>0</v>
      </c>
      <c r="I56" s="41">
        <f>SUMIF('4. Equipment Costs'!C:C,B56,'4. Equipment Costs'!H:H)</f>
        <v>0</v>
      </c>
      <c r="J56" s="41">
        <f>SUMIF('5. Subcontracting Costs'!C:C,B56,'5. Subcontracting Costs'!H:H)</f>
        <v>0</v>
      </c>
      <c r="K56" s="42">
        <f>SUMIF('B. Special Mob Strand - Student'!B:B,B56,'B. Special Mob Strand - Student'!N:N)+SUMIF('B. Special Mob Strand - Staff'!B:B,B56,'B. Special Mob Strand - Staff'!N:N)</f>
        <v>0</v>
      </c>
      <c r="L56" s="43">
        <f t="shared" si="1"/>
        <v>0</v>
      </c>
    </row>
    <row r="57" spans="2:12" x14ac:dyDescent="0.35">
      <c r="B57" s="123" t="s">
        <v>116</v>
      </c>
      <c r="C57" s="44"/>
      <c r="D57" s="39"/>
      <c r="E57" s="40" t="str">
        <f t="shared" si="0"/>
        <v/>
      </c>
      <c r="F57" s="41">
        <f>SUMIF('1. Staff costs'!C:C,B57,'1. Staff costs'!S:S)</f>
        <v>0</v>
      </c>
      <c r="G57" s="41">
        <f>SUMIF('2-3. Travel Costs&amp;Costs of Stay'!C:C,B57,'2-3. Travel Costs&amp;Costs of Stay'!L:L)</f>
        <v>0</v>
      </c>
      <c r="H57" s="41">
        <f>SUMIF('2-3. Travel Costs&amp;Costs of Stay'!C:C,B57,'2-3. Travel Costs&amp;Costs of Stay'!M:M)</f>
        <v>0</v>
      </c>
      <c r="I57" s="41">
        <f>SUMIF('4. Equipment Costs'!C:C,B57,'4. Equipment Costs'!H:H)</f>
        <v>0</v>
      </c>
      <c r="J57" s="41">
        <f>SUMIF('5. Subcontracting Costs'!C:C,B57,'5. Subcontracting Costs'!H:H)</f>
        <v>0</v>
      </c>
      <c r="K57" s="42">
        <f>SUMIF('B. Special Mob Strand - Student'!B:B,B57,'B. Special Mob Strand - Student'!N:N)+SUMIF('B. Special Mob Strand - Staff'!B:B,B57,'B. Special Mob Strand - Staff'!N:N)</f>
        <v>0</v>
      </c>
      <c r="L57" s="43">
        <f t="shared" si="1"/>
        <v>0</v>
      </c>
    </row>
    <row r="58" spans="2:12" x14ac:dyDescent="0.35">
      <c r="B58" s="123" t="s">
        <v>117</v>
      </c>
      <c r="C58" s="44"/>
      <c r="D58" s="39"/>
      <c r="E58" s="40" t="str">
        <f t="shared" si="0"/>
        <v/>
      </c>
      <c r="F58" s="41">
        <f>SUMIF('1. Staff costs'!C:C,B58,'1. Staff costs'!S:S)</f>
        <v>0</v>
      </c>
      <c r="G58" s="41">
        <f>SUMIF('2-3. Travel Costs&amp;Costs of Stay'!C:C,B58,'2-3. Travel Costs&amp;Costs of Stay'!L:L)</f>
        <v>0</v>
      </c>
      <c r="H58" s="41">
        <f>SUMIF('2-3. Travel Costs&amp;Costs of Stay'!C:C,B58,'2-3. Travel Costs&amp;Costs of Stay'!M:M)</f>
        <v>0</v>
      </c>
      <c r="I58" s="41">
        <f>SUMIF('4. Equipment Costs'!C:C,B58,'4. Equipment Costs'!H:H)</f>
        <v>0</v>
      </c>
      <c r="J58" s="41">
        <f>SUMIF('5. Subcontracting Costs'!C:C,B58,'5. Subcontracting Costs'!H:H)</f>
        <v>0</v>
      </c>
      <c r="K58" s="42">
        <f>SUMIF('B. Special Mob Strand - Student'!B:B,B58,'B. Special Mob Strand - Student'!N:N)+SUMIF('B. Special Mob Strand - Staff'!B:B,B58,'B. Special Mob Strand - Staff'!N:N)</f>
        <v>0</v>
      </c>
      <c r="L58" s="43">
        <f t="shared" si="1"/>
        <v>0</v>
      </c>
    </row>
    <row r="59" spans="2:12" x14ac:dyDescent="0.35">
      <c r="B59" s="123" t="s">
        <v>118</v>
      </c>
      <c r="C59" s="44"/>
      <c r="D59" s="39"/>
      <c r="E59" s="40" t="str">
        <f t="shared" si="0"/>
        <v/>
      </c>
      <c r="F59" s="41">
        <f>SUMIF('1. Staff costs'!C:C,B59,'1. Staff costs'!S:S)</f>
        <v>0</v>
      </c>
      <c r="G59" s="41">
        <f>SUMIF('2-3. Travel Costs&amp;Costs of Stay'!C:C,B59,'2-3. Travel Costs&amp;Costs of Stay'!L:L)</f>
        <v>0</v>
      </c>
      <c r="H59" s="41">
        <f>SUMIF('2-3. Travel Costs&amp;Costs of Stay'!C:C,B59,'2-3. Travel Costs&amp;Costs of Stay'!M:M)</f>
        <v>0</v>
      </c>
      <c r="I59" s="41">
        <f>SUMIF('4. Equipment Costs'!C:C,B59,'4. Equipment Costs'!H:H)</f>
        <v>0</v>
      </c>
      <c r="J59" s="41">
        <f>SUMIF('5. Subcontracting Costs'!C:C,B59,'5. Subcontracting Costs'!H:H)</f>
        <v>0</v>
      </c>
      <c r="K59" s="42">
        <f>SUMIF('B. Special Mob Strand - Student'!B:B,B59,'B. Special Mob Strand - Student'!N:N)+SUMIF('B. Special Mob Strand - Staff'!B:B,B59,'B. Special Mob Strand - Staff'!N:N)</f>
        <v>0</v>
      </c>
      <c r="L59" s="43">
        <f t="shared" si="1"/>
        <v>0</v>
      </c>
    </row>
    <row r="60" spans="2:12" x14ac:dyDescent="0.35">
      <c r="B60" s="123" t="s">
        <v>119</v>
      </c>
      <c r="C60" s="44"/>
      <c r="D60" s="39"/>
      <c r="E60" s="40" t="str">
        <f t="shared" si="0"/>
        <v/>
      </c>
      <c r="F60" s="41">
        <f>SUMIF('1. Staff costs'!C:C,B60,'1. Staff costs'!S:S)</f>
        <v>0</v>
      </c>
      <c r="G60" s="41">
        <f>SUMIF('2-3. Travel Costs&amp;Costs of Stay'!C:C,B60,'2-3. Travel Costs&amp;Costs of Stay'!L:L)</f>
        <v>0</v>
      </c>
      <c r="H60" s="41">
        <f>SUMIF('2-3. Travel Costs&amp;Costs of Stay'!C:C,B60,'2-3. Travel Costs&amp;Costs of Stay'!M:M)</f>
        <v>0</v>
      </c>
      <c r="I60" s="41">
        <f>SUMIF('4. Equipment Costs'!C:C,B60,'4. Equipment Costs'!H:H)</f>
        <v>0</v>
      </c>
      <c r="J60" s="41">
        <f>SUMIF('5. Subcontracting Costs'!C:C,B60,'5. Subcontracting Costs'!H:H)</f>
        <v>0</v>
      </c>
      <c r="K60" s="42">
        <f>SUMIF('B. Special Mob Strand - Student'!B:B,B60,'B. Special Mob Strand - Student'!N:N)+SUMIF('B. Special Mob Strand - Staff'!B:B,B60,'B. Special Mob Strand - Staff'!N:N)</f>
        <v>0</v>
      </c>
      <c r="L60" s="43">
        <f t="shared" si="1"/>
        <v>0</v>
      </c>
    </row>
    <row r="61" spans="2:12" x14ac:dyDescent="0.35">
      <c r="B61" s="123" t="s">
        <v>120</v>
      </c>
      <c r="C61" s="44"/>
      <c r="D61" s="39"/>
      <c r="E61" s="40" t="str">
        <f t="shared" si="0"/>
        <v/>
      </c>
      <c r="F61" s="41">
        <f>SUMIF('1. Staff costs'!C:C,B61,'1. Staff costs'!S:S)</f>
        <v>0</v>
      </c>
      <c r="G61" s="41">
        <f>SUMIF('2-3. Travel Costs&amp;Costs of Stay'!C:C,B61,'2-3. Travel Costs&amp;Costs of Stay'!L:L)</f>
        <v>0</v>
      </c>
      <c r="H61" s="41">
        <f>SUMIF('2-3. Travel Costs&amp;Costs of Stay'!C:C,B61,'2-3. Travel Costs&amp;Costs of Stay'!M:M)</f>
        <v>0</v>
      </c>
      <c r="I61" s="41">
        <f>SUMIF('4. Equipment Costs'!C:C,B61,'4. Equipment Costs'!H:H)</f>
        <v>0</v>
      </c>
      <c r="J61" s="41">
        <f>SUMIF('5. Subcontracting Costs'!C:C,B61,'5. Subcontracting Costs'!H:H)</f>
        <v>0</v>
      </c>
      <c r="K61" s="42">
        <f>SUMIF('B. Special Mob Strand - Student'!B:B,B61,'B. Special Mob Strand - Student'!N:N)+SUMIF('B. Special Mob Strand - Staff'!B:B,B61,'B. Special Mob Strand - Staff'!N:N)</f>
        <v>0</v>
      </c>
      <c r="L61" s="43">
        <f t="shared" si="1"/>
        <v>0</v>
      </c>
    </row>
    <row r="62" spans="2:12" x14ac:dyDescent="0.35">
      <c r="B62" s="123" t="s">
        <v>121</v>
      </c>
      <c r="C62" s="44"/>
      <c r="D62" s="39"/>
      <c r="E62" s="40" t="str">
        <f t="shared" si="0"/>
        <v/>
      </c>
      <c r="F62" s="41">
        <f>SUMIF('1. Staff costs'!C:C,B62,'1. Staff costs'!S:S)</f>
        <v>0</v>
      </c>
      <c r="G62" s="41">
        <f>SUMIF('2-3. Travel Costs&amp;Costs of Stay'!C:C,B62,'2-3. Travel Costs&amp;Costs of Stay'!L:L)</f>
        <v>0</v>
      </c>
      <c r="H62" s="41">
        <f>SUMIF('2-3. Travel Costs&amp;Costs of Stay'!C:C,B62,'2-3. Travel Costs&amp;Costs of Stay'!M:M)</f>
        <v>0</v>
      </c>
      <c r="I62" s="41">
        <f>SUMIF('4. Equipment Costs'!C:C,B62,'4. Equipment Costs'!H:H)</f>
        <v>0</v>
      </c>
      <c r="J62" s="41">
        <f>SUMIF('5. Subcontracting Costs'!C:C,B62,'5. Subcontracting Costs'!H:H)</f>
        <v>0</v>
      </c>
      <c r="K62" s="42">
        <f>SUMIF('B. Special Mob Strand - Student'!B:B,B62,'B. Special Mob Strand - Student'!N:N)+SUMIF('B. Special Mob Strand - Staff'!B:B,B62,'B. Special Mob Strand - Staff'!N:N)</f>
        <v>0</v>
      </c>
      <c r="L62" s="43">
        <f t="shared" si="1"/>
        <v>0</v>
      </c>
    </row>
    <row r="63" spans="2:12" x14ac:dyDescent="0.35">
      <c r="B63" s="123" t="s">
        <v>122</v>
      </c>
      <c r="C63" s="44"/>
      <c r="D63" s="39"/>
      <c r="E63" s="40" t="str">
        <f t="shared" si="0"/>
        <v/>
      </c>
      <c r="F63" s="41">
        <f>SUMIF('1. Staff costs'!C:C,B63,'1. Staff costs'!S:S)</f>
        <v>0</v>
      </c>
      <c r="G63" s="41">
        <f>SUMIF('2-3. Travel Costs&amp;Costs of Stay'!C:C,B63,'2-3. Travel Costs&amp;Costs of Stay'!L:L)</f>
        <v>0</v>
      </c>
      <c r="H63" s="41">
        <f>SUMIF('2-3. Travel Costs&amp;Costs of Stay'!C:C,B63,'2-3. Travel Costs&amp;Costs of Stay'!M:M)</f>
        <v>0</v>
      </c>
      <c r="I63" s="41">
        <f>SUMIF('4. Equipment Costs'!C:C,B63,'4. Equipment Costs'!H:H)</f>
        <v>0</v>
      </c>
      <c r="J63" s="41">
        <f>SUMIF('5. Subcontracting Costs'!C:C,B63,'5. Subcontracting Costs'!H:H)</f>
        <v>0</v>
      </c>
      <c r="K63" s="42">
        <f>SUMIF('B. Special Mob Strand - Student'!B:B,B63,'B. Special Mob Strand - Student'!N:N)+SUMIF('B. Special Mob Strand - Staff'!B:B,B63,'B. Special Mob Strand - Staff'!N:N)</f>
        <v>0</v>
      </c>
      <c r="L63" s="43">
        <f t="shared" si="1"/>
        <v>0</v>
      </c>
    </row>
    <row r="64" spans="2:12" x14ac:dyDescent="0.35">
      <c r="B64" s="123" t="s">
        <v>123</v>
      </c>
      <c r="C64" s="44"/>
      <c r="D64" s="39"/>
      <c r="E64" s="40" t="str">
        <f t="shared" si="0"/>
        <v/>
      </c>
      <c r="F64" s="41">
        <f>SUMIF('1. Staff costs'!C:C,B64,'1. Staff costs'!S:S)</f>
        <v>0</v>
      </c>
      <c r="G64" s="41">
        <f>SUMIF('2-3. Travel Costs&amp;Costs of Stay'!C:C,B64,'2-3. Travel Costs&amp;Costs of Stay'!L:L)</f>
        <v>0</v>
      </c>
      <c r="H64" s="41">
        <f>SUMIF('2-3. Travel Costs&amp;Costs of Stay'!C:C,B64,'2-3. Travel Costs&amp;Costs of Stay'!M:M)</f>
        <v>0</v>
      </c>
      <c r="I64" s="41">
        <f>SUMIF('4. Equipment Costs'!C:C,B64,'4. Equipment Costs'!H:H)</f>
        <v>0</v>
      </c>
      <c r="J64" s="41">
        <f>SUMIF('5. Subcontracting Costs'!C:C,B64,'5. Subcontracting Costs'!H:H)</f>
        <v>0</v>
      </c>
      <c r="K64" s="42">
        <f>SUMIF('B. Special Mob Strand - Student'!B:B,B64,'B. Special Mob Strand - Student'!N:N)+SUMIF('B. Special Mob Strand - Staff'!B:B,B64,'B. Special Mob Strand - Staff'!N:N)</f>
        <v>0</v>
      </c>
      <c r="L64" s="43">
        <f t="shared" si="1"/>
        <v>0</v>
      </c>
    </row>
    <row r="65" spans="2:12" x14ac:dyDescent="0.35">
      <c r="B65" s="123" t="s">
        <v>124</v>
      </c>
      <c r="C65" s="44"/>
      <c r="D65" s="39"/>
      <c r="E65" s="40" t="str">
        <f t="shared" si="0"/>
        <v/>
      </c>
      <c r="F65" s="41">
        <f>SUMIF('1. Staff costs'!C:C,B65,'1. Staff costs'!S:S)</f>
        <v>0</v>
      </c>
      <c r="G65" s="41">
        <f>SUMIF('2-3. Travel Costs&amp;Costs of Stay'!C:C,B65,'2-3. Travel Costs&amp;Costs of Stay'!L:L)</f>
        <v>0</v>
      </c>
      <c r="H65" s="41">
        <f>SUMIF('2-3. Travel Costs&amp;Costs of Stay'!C:C,B65,'2-3. Travel Costs&amp;Costs of Stay'!M:M)</f>
        <v>0</v>
      </c>
      <c r="I65" s="41">
        <f>SUMIF('4. Equipment Costs'!C:C,B65,'4. Equipment Costs'!H:H)</f>
        <v>0</v>
      </c>
      <c r="J65" s="41">
        <f>SUMIF('5. Subcontracting Costs'!C:C,B65,'5. Subcontracting Costs'!H:H)</f>
        <v>0</v>
      </c>
      <c r="K65" s="42">
        <f>SUMIF('B. Special Mob Strand - Student'!B:B,B65,'B. Special Mob Strand - Student'!N:N)+SUMIF('B. Special Mob Strand - Staff'!B:B,B65,'B. Special Mob Strand - Staff'!N:N)</f>
        <v>0</v>
      </c>
      <c r="L65" s="43">
        <f t="shared" si="1"/>
        <v>0</v>
      </c>
    </row>
    <row r="66" spans="2:12" x14ac:dyDescent="0.35">
      <c r="B66" s="123" t="s">
        <v>125</v>
      </c>
      <c r="C66" s="44"/>
      <c r="D66" s="39"/>
      <c r="E66" s="40" t="str">
        <f t="shared" si="0"/>
        <v/>
      </c>
      <c r="F66" s="41">
        <f>SUMIF('1. Staff costs'!C:C,B66,'1. Staff costs'!S:S)</f>
        <v>0</v>
      </c>
      <c r="G66" s="41">
        <f>SUMIF('2-3. Travel Costs&amp;Costs of Stay'!C:C,B66,'2-3. Travel Costs&amp;Costs of Stay'!L:L)</f>
        <v>0</v>
      </c>
      <c r="H66" s="41">
        <f>SUMIF('2-3. Travel Costs&amp;Costs of Stay'!C:C,B66,'2-3. Travel Costs&amp;Costs of Stay'!M:M)</f>
        <v>0</v>
      </c>
      <c r="I66" s="41">
        <f>SUMIF('4. Equipment Costs'!C:C,B66,'4. Equipment Costs'!H:H)</f>
        <v>0</v>
      </c>
      <c r="J66" s="41">
        <f>SUMIF('5. Subcontracting Costs'!C:C,B66,'5. Subcontracting Costs'!H:H)</f>
        <v>0</v>
      </c>
      <c r="K66" s="42">
        <f>SUMIF('B. Special Mob Strand - Student'!B:B,B66,'B. Special Mob Strand - Student'!N:N)+SUMIF('B. Special Mob Strand - Staff'!B:B,B66,'B. Special Mob Strand - Staff'!N:N)</f>
        <v>0</v>
      </c>
      <c r="L66" s="43">
        <f t="shared" si="1"/>
        <v>0</v>
      </c>
    </row>
    <row r="67" spans="2:12" x14ac:dyDescent="0.35">
      <c r="B67" s="123" t="s">
        <v>126</v>
      </c>
      <c r="C67" s="44"/>
      <c r="D67" s="39"/>
      <c r="E67" s="40" t="str">
        <f t="shared" si="0"/>
        <v/>
      </c>
      <c r="F67" s="41">
        <f>SUMIF('1. Staff costs'!C:C,B67,'1. Staff costs'!S:S)</f>
        <v>0</v>
      </c>
      <c r="G67" s="41">
        <f>SUMIF('2-3. Travel Costs&amp;Costs of Stay'!C:C,B67,'2-3. Travel Costs&amp;Costs of Stay'!L:L)</f>
        <v>0</v>
      </c>
      <c r="H67" s="41">
        <f>SUMIF('2-3. Travel Costs&amp;Costs of Stay'!C:C,B67,'2-3. Travel Costs&amp;Costs of Stay'!M:M)</f>
        <v>0</v>
      </c>
      <c r="I67" s="41">
        <f>SUMIF('4. Equipment Costs'!C:C,B67,'4. Equipment Costs'!H:H)</f>
        <v>0</v>
      </c>
      <c r="J67" s="41">
        <f>SUMIF('5. Subcontracting Costs'!C:C,B67,'5. Subcontracting Costs'!H:H)</f>
        <v>0</v>
      </c>
      <c r="K67" s="42">
        <f>SUMIF('B. Special Mob Strand - Student'!B:B,B67,'B. Special Mob Strand - Student'!N:N)+SUMIF('B. Special Mob Strand - Staff'!B:B,B67,'B. Special Mob Strand - Staff'!N:N)</f>
        <v>0</v>
      </c>
      <c r="L67" s="43">
        <f t="shared" si="1"/>
        <v>0</v>
      </c>
    </row>
    <row r="68" spans="2:12" x14ac:dyDescent="0.35">
      <c r="B68" s="123" t="s">
        <v>127</v>
      </c>
      <c r="C68" s="44"/>
      <c r="D68" s="39"/>
      <c r="E68" s="40" t="str">
        <f t="shared" si="0"/>
        <v/>
      </c>
      <c r="F68" s="41">
        <f>SUMIF('1. Staff costs'!C:C,B68,'1. Staff costs'!S:S)</f>
        <v>0</v>
      </c>
      <c r="G68" s="41">
        <f>SUMIF('2-3. Travel Costs&amp;Costs of Stay'!C:C,B68,'2-3. Travel Costs&amp;Costs of Stay'!L:L)</f>
        <v>0</v>
      </c>
      <c r="H68" s="41">
        <f>SUMIF('2-3. Travel Costs&amp;Costs of Stay'!C:C,B68,'2-3. Travel Costs&amp;Costs of Stay'!M:M)</f>
        <v>0</v>
      </c>
      <c r="I68" s="41">
        <f>SUMIF('4. Equipment Costs'!C:C,B68,'4. Equipment Costs'!H:H)</f>
        <v>0</v>
      </c>
      <c r="J68" s="41">
        <f>SUMIF('5. Subcontracting Costs'!C:C,B68,'5. Subcontracting Costs'!H:H)</f>
        <v>0</v>
      </c>
      <c r="K68" s="42">
        <f>SUMIF('B. Special Mob Strand - Student'!B:B,B68,'B. Special Mob Strand - Student'!N:N)+SUMIF('B. Special Mob Strand - Staff'!B:B,B68,'B. Special Mob Strand - Staff'!N:N)</f>
        <v>0</v>
      </c>
      <c r="L68" s="43">
        <f t="shared" si="1"/>
        <v>0</v>
      </c>
    </row>
    <row r="69" spans="2:12" x14ac:dyDescent="0.35">
      <c r="B69" s="123" t="s">
        <v>128</v>
      </c>
      <c r="C69" s="44"/>
      <c r="D69" s="39"/>
      <c r="E69" s="40" t="str">
        <f t="shared" si="0"/>
        <v/>
      </c>
      <c r="F69" s="41">
        <f>SUMIF('1. Staff costs'!C:C,B69,'1. Staff costs'!S:S)</f>
        <v>0</v>
      </c>
      <c r="G69" s="41">
        <f>SUMIF('2-3. Travel Costs&amp;Costs of Stay'!C:C,B69,'2-3. Travel Costs&amp;Costs of Stay'!L:L)</f>
        <v>0</v>
      </c>
      <c r="H69" s="41">
        <f>SUMIF('2-3. Travel Costs&amp;Costs of Stay'!C:C,B69,'2-3. Travel Costs&amp;Costs of Stay'!M:M)</f>
        <v>0</v>
      </c>
      <c r="I69" s="41">
        <f>SUMIF('4. Equipment Costs'!C:C,B69,'4. Equipment Costs'!H:H)</f>
        <v>0</v>
      </c>
      <c r="J69" s="41">
        <f>SUMIF('5. Subcontracting Costs'!C:C,B69,'5. Subcontracting Costs'!H:H)</f>
        <v>0</v>
      </c>
      <c r="K69" s="42">
        <f>SUMIF('B. Special Mob Strand - Student'!B:B,B69,'B. Special Mob Strand - Student'!N:N)+SUMIF('B. Special Mob Strand - Staff'!B:B,B69,'B. Special Mob Strand - Staff'!N:N)</f>
        <v>0</v>
      </c>
      <c r="L69" s="43">
        <f t="shared" si="1"/>
        <v>0</v>
      </c>
    </row>
    <row r="70" spans="2:12" x14ac:dyDescent="0.35">
      <c r="B70" s="123" t="s">
        <v>129</v>
      </c>
      <c r="C70" s="44"/>
      <c r="D70" s="39"/>
      <c r="E70" s="40" t="str">
        <f t="shared" si="0"/>
        <v/>
      </c>
      <c r="F70" s="41">
        <f>SUMIF('1. Staff costs'!C:C,B70,'1. Staff costs'!S:S)</f>
        <v>0</v>
      </c>
      <c r="G70" s="41">
        <f>SUMIF('2-3. Travel Costs&amp;Costs of Stay'!C:C,B70,'2-3. Travel Costs&amp;Costs of Stay'!L:L)</f>
        <v>0</v>
      </c>
      <c r="H70" s="41">
        <f>SUMIF('2-3. Travel Costs&amp;Costs of Stay'!C:C,B70,'2-3. Travel Costs&amp;Costs of Stay'!M:M)</f>
        <v>0</v>
      </c>
      <c r="I70" s="41">
        <f>SUMIF('4. Equipment Costs'!C:C,B70,'4. Equipment Costs'!H:H)</f>
        <v>0</v>
      </c>
      <c r="J70" s="41">
        <f>SUMIF('5. Subcontracting Costs'!C:C,B70,'5. Subcontracting Costs'!H:H)</f>
        <v>0</v>
      </c>
      <c r="K70" s="42">
        <f>SUMIF('B. Special Mob Strand - Student'!B:B,B70,'B. Special Mob Strand - Student'!N:N)+SUMIF('B. Special Mob Strand - Staff'!B:B,B70,'B. Special Mob Strand - Staff'!N:N)</f>
        <v>0</v>
      </c>
      <c r="L70" s="43">
        <f t="shared" si="1"/>
        <v>0</v>
      </c>
    </row>
    <row r="71" spans="2:12" x14ac:dyDescent="0.35">
      <c r="B71" s="123" t="s">
        <v>130</v>
      </c>
      <c r="C71" s="44"/>
      <c r="D71" s="39"/>
      <c r="E71" s="40" t="str">
        <f t="shared" si="0"/>
        <v/>
      </c>
      <c r="F71" s="41">
        <f>SUMIF('1. Staff costs'!C:C,B71,'1. Staff costs'!S:S)</f>
        <v>0</v>
      </c>
      <c r="G71" s="41">
        <f>SUMIF('2-3. Travel Costs&amp;Costs of Stay'!C:C,B71,'2-3. Travel Costs&amp;Costs of Stay'!L:L)</f>
        <v>0</v>
      </c>
      <c r="H71" s="41">
        <f>SUMIF('2-3. Travel Costs&amp;Costs of Stay'!C:C,B71,'2-3. Travel Costs&amp;Costs of Stay'!M:M)</f>
        <v>0</v>
      </c>
      <c r="I71" s="41">
        <f>SUMIF('4. Equipment Costs'!C:C,B71,'4. Equipment Costs'!H:H)</f>
        <v>0</v>
      </c>
      <c r="J71" s="41">
        <f>SUMIF('5. Subcontracting Costs'!C:C,B71,'5. Subcontracting Costs'!H:H)</f>
        <v>0</v>
      </c>
      <c r="K71" s="42">
        <f>SUMIF('B. Special Mob Strand - Student'!B:B,B71,'B. Special Mob Strand - Student'!N:N)+SUMIF('B. Special Mob Strand - Staff'!B:B,B71,'B. Special Mob Strand - Staff'!N:N)</f>
        <v>0</v>
      </c>
      <c r="L71" s="43">
        <f t="shared" si="1"/>
        <v>0</v>
      </c>
    </row>
    <row r="72" spans="2:12" x14ac:dyDescent="0.35">
      <c r="B72" s="123" t="s">
        <v>131</v>
      </c>
      <c r="C72" s="44"/>
      <c r="D72" s="39"/>
      <c r="E72" s="40" t="str">
        <f t="shared" si="0"/>
        <v/>
      </c>
      <c r="F72" s="41">
        <f>SUMIF('1. Staff costs'!C:C,B72,'1. Staff costs'!S:S)</f>
        <v>0</v>
      </c>
      <c r="G72" s="41">
        <f>SUMIF('2-3. Travel Costs&amp;Costs of Stay'!C:C,B72,'2-3. Travel Costs&amp;Costs of Stay'!L:L)</f>
        <v>0</v>
      </c>
      <c r="H72" s="41">
        <f>SUMIF('2-3. Travel Costs&amp;Costs of Stay'!C:C,B72,'2-3. Travel Costs&amp;Costs of Stay'!M:M)</f>
        <v>0</v>
      </c>
      <c r="I72" s="41">
        <f>SUMIF('4. Equipment Costs'!C:C,B72,'4. Equipment Costs'!H:H)</f>
        <v>0</v>
      </c>
      <c r="J72" s="41">
        <f>SUMIF('5. Subcontracting Costs'!C:C,B72,'5. Subcontracting Costs'!H:H)</f>
        <v>0</v>
      </c>
      <c r="K72" s="42">
        <f>SUMIF('B. Special Mob Strand - Student'!B:B,B72,'B. Special Mob Strand - Student'!N:N)+SUMIF('B. Special Mob Strand - Staff'!B:B,B72,'B. Special Mob Strand - Staff'!N:N)</f>
        <v>0</v>
      </c>
      <c r="L72" s="43">
        <f t="shared" si="1"/>
        <v>0</v>
      </c>
    </row>
    <row r="73" spans="2:12" x14ac:dyDescent="0.35">
      <c r="B73" s="123" t="s">
        <v>141</v>
      </c>
      <c r="C73" s="44"/>
      <c r="D73" s="39"/>
      <c r="E73" s="40" t="str">
        <f t="shared" si="0"/>
        <v/>
      </c>
      <c r="F73" s="41">
        <f>SUMIF('1. Staff costs'!C:C,B73,'1. Staff costs'!S:S)</f>
        <v>0</v>
      </c>
      <c r="G73" s="41">
        <f>SUMIF('2-3. Travel Costs&amp;Costs of Stay'!C:C,B73,'2-3. Travel Costs&amp;Costs of Stay'!L:L)</f>
        <v>0</v>
      </c>
      <c r="H73" s="41">
        <f>SUMIF('2-3. Travel Costs&amp;Costs of Stay'!C:C,B73,'2-3. Travel Costs&amp;Costs of Stay'!M:M)</f>
        <v>0</v>
      </c>
      <c r="I73" s="41">
        <f>SUMIF('4. Equipment Costs'!C:C,B73,'4. Equipment Costs'!H:H)</f>
        <v>0</v>
      </c>
      <c r="J73" s="41">
        <f>SUMIF('5. Subcontracting Costs'!C:C,B73,'5. Subcontracting Costs'!H:H)</f>
        <v>0</v>
      </c>
      <c r="K73" s="42">
        <f>SUMIF('B. Special Mob Strand - Student'!B:B,B73,'B. Special Mob Strand - Student'!N:N)+SUMIF('B. Special Mob Strand - Staff'!B:B,B73,'B. Special Mob Strand - Staff'!N:N)</f>
        <v>0</v>
      </c>
      <c r="L73" s="43">
        <f t="shared" si="1"/>
        <v>0</v>
      </c>
    </row>
    <row r="74" spans="2:12" x14ac:dyDescent="0.35">
      <c r="B74" s="123" t="s">
        <v>142</v>
      </c>
      <c r="C74" s="44"/>
      <c r="D74" s="39"/>
      <c r="E74" s="40" t="str">
        <f t="shared" si="0"/>
        <v/>
      </c>
      <c r="F74" s="41">
        <f>SUMIF('1. Staff costs'!C:C,B74,'1. Staff costs'!S:S)</f>
        <v>0</v>
      </c>
      <c r="G74" s="41">
        <f>SUMIF('2-3. Travel Costs&amp;Costs of Stay'!C:C,B74,'2-3. Travel Costs&amp;Costs of Stay'!L:L)</f>
        <v>0</v>
      </c>
      <c r="H74" s="41">
        <f>SUMIF('2-3. Travel Costs&amp;Costs of Stay'!C:C,B74,'2-3. Travel Costs&amp;Costs of Stay'!M:M)</f>
        <v>0</v>
      </c>
      <c r="I74" s="41">
        <f>SUMIF('4. Equipment Costs'!C:C,B74,'4. Equipment Costs'!H:H)</f>
        <v>0</v>
      </c>
      <c r="J74" s="41">
        <f>SUMIF('5. Subcontracting Costs'!C:C,B74,'5. Subcontracting Costs'!H:H)</f>
        <v>0</v>
      </c>
      <c r="K74" s="42">
        <f>SUMIF('B. Special Mob Strand - Student'!B:B,B74,'B. Special Mob Strand - Student'!N:N)+SUMIF('B. Special Mob Strand - Staff'!B:B,B74,'B. Special Mob Strand - Staff'!N:N)</f>
        <v>0</v>
      </c>
      <c r="L74" s="43">
        <f t="shared" si="1"/>
        <v>0</v>
      </c>
    </row>
    <row r="75" spans="2:12" x14ac:dyDescent="0.35">
      <c r="B75" s="123" t="s">
        <v>143</v>
      </c>
      <c r="C75" s="44"/>
      <c r="D75" s="39"/>
      <c r="E75" s="40" t="str">
        <f t="shared" si="0"/>
        <v/>
      </c>
      <c r="F75" s="41">
        <f>SUMIF('1. Staff costs'!C:C,B75,'1. Staff costs'!S:S)</f>
        <v>0</v>
      </c>
      <c r="G75" s="41">
        <f>SUMIF('2-3. Travel Costs&amp;Costs of Stay'!C:C,B75,'2-3. Travel Costs&amp;Costs of Stay'!L:L)</f>
        <v>0</v>
      </c>
      <c r="H75" s="41">
        <f>SUMIF('2-3. Travel Costs&amp;Costs of Stay'!C:C,B75,'2-3. Travel Costs&amp;Costs of Stay'!M:M)</f>
        <v>0</v>
      </c>
      <c r="I75" s="41">
        <f>SUMIF('4. Equipment Costs'!C:C,B75,'4. Equipment Costs'!H:H)</f>
        <v>0</v>
      </c>
      <c r="J75" s="41">
        <f>SUMIF('5. Subcontracting Costs'!C:C,B75,'5. Subcontracting Costs'!H:H)</f>
        <v>0</v>
      </c>
      <c r="K75" s="42">
        <f>SUMIF('B. Special Mob Strand - Student'!B:B,B75,'B. Special Mob Strand - Student'!N:N)+SUMIF('B. Special Mob Strand - Staff'!B:B,B75,'B. Special Mob Strand - Staff'!N:N)</f>
        <v>0</v>
      </c>
      <c r="L75" s="43">
        <f t="shared" si="1"/>
        <v>0</v>
      </c>
    </row>
    <row r="76" spans="2:12" x14ac:dyDescent="0.35">
      <c r="B76" s="123" t="s">
        <v>144</v>
      </c>
      <c r="C76" s="44"/>
      <c r="D76" s="39"/>
      <c r="E76" s="40" t="str">
        <f t="shared" si="0"/>
        <v/>
      </c>
      <c r="F76" s="41">
        <f>SUMIF('1. Staff costs'!C:C,B76,'1. Staff costs'!S:S)</f>
        <v>0</v>
      </c>
      <c r="G76" s="41">
        <f>SUMIF('2-3. Travel Costs&amp;Costs of Stay'!C:C,B76,'2-3. Travel Costs&amp;Costs of Stay'!L:L)</f>
        <v>0</v>
      </c>
      <c r="H76" s="41">
        <f>SUMIF('2-3. Travel Costs&amp;Costs of Stay'!C:C,B76,'2-3. Travel Costs&amp;Costs of Stay'!M:M)</f>
        <v>0</v>
      </c>
      <c r="I76" s="41">
        <f>SUMIF('4. Equipment Costs'!C:C,B76,'4. Equipment Costs'!H:H)</f>
        <v>0</v>
      </c>
      <c r="J76" s="41">
        <f>SUMIF('5. Subcontracting Costs'!C:C,B76,'5. Subcontracting Costs'!H:H)</f>
        <v>0</v>
      </c>
      <c r="K76" s="42">
        <f>SUMIF('B. Special Mob Strand - Student'!B:B,B76,'B. Special Mob Strand - Student'!N:N)+SUMIF('B. Special Mob Strand - Staff'!B:B,B76,'B. Special Mob Strand - Staff'!N:N)</f>
        <v>0</v>
      </c>
      <c r="L76" s="43">
        <f t="shared" si="1"/>
        <v>0</v>
      </c>
    </row>
    <row r="77" spans="2:12" x14ac:dyDescent="0.35">
      <c r="B77" s="123" t="s">
        <v>145</v>
      </c>
      <c r="C77" s="44"/>
      <c r="D77" s="39"/>
      <c r="E77" s="40" t="str">
        <f t="shared" si="0"/>
        <v/>
      </c>
      <c r="F77" s="41">
        <f>SUMIF('1. Staff costs'!C:C,B77,'1. Staff costs'!S:S)</f>
        <v>0</v>
      </c>
      <c r="G77" s="41">
        <f>SUMIF('2-3. Travel Costs&amp;Costs of Stay'!C:C,B77,'2-3. Travel Costs&amp;Costs of Stay'!L:L)</f>
        <v>0</v>
      </c>
      <c r="H77" s="41">
        <f>SUMIF('2-3. Travel Costs&amp;Costs of Stay'!C:C,B77,'2-3. Travel Costs&amp;Costs of Stay'!M:M)</f>
        <v>0</v>
      </c>
      <c r="I77" s="41">
        <f>SUMIF('4. Equipment Costs'!C:C,B77,'4. Equipment Costs'!H:H)</f>
        <v>0</v>
      </c>
      <c r="J77" s="41">
        <f>SUMIF('5. Subcontracting Costs'!C:C,B77,'5. Subcontracting Costs'!H:H)</f>
        <v>0</v>
      </c>
      <c r="K77" s="42">
        <f>SUMIF('B. Special Mob Strand - Student'!B:B,B77,'B. Special Mob Strand - Student'!N:N)+SUMIF('B. Special Mob Strand - Staff'!B:B,B77,'B. Special Mob Strand - Staff'!N:N)</f>
        <v>0</v>
      </c>
      <c r="L77" s="43">
        <f t="shared" si="1"/>
        <v>0</v>
      </c>
    </row>
    <row r="78" spans="2:12" x14ac:dyDescent="0.35">
      <c r="B78" s="123" t="s">
        <v>146</v>
      </c>
      <c r="C78" s="44"/>
      <c r="D78" s="39"/>
      <c r="E78" s="40" t="str">
        <f t="shared" si="0"/>
        <v/>
      </c>
      <c r="F78" s="41">
        <f>SUMIF('1. Staff costs'!C:C,B78,'1. Staff costs'!S:S)</f>
        <v>0</v>
      </c>
      <c r="G78" s="41">
        <f>SUMIF('2-3. Travel Costs&amp;Costs of Stay'!C:C,B78,'2-3. Travel Costs&amp;Costs of Stay'!L:L)</f>
        <v>0</v>
      </c>
      <c r="H78" s="41">
        <f>SUMIF('2-3. Travel Costs&amp;Costs of Stay'!C:C,B78,'2-3. Travel Costs&amp;Costs of Stay'!M:M)</f>
        <v>0</v>
      </c>
      <c r="I78" s="41">
        <f>SUMIF('4. Equipment Costs'!C:C,B78,'4. Equipment Costs'!H:H)</f>
        <v>0</v>
      </c>
      <c r="J78" s="41">
        <f>SUMIF('5. Subcontracting Costs'!C:C,B78,'5. Subcontracting Costs'!H:H)</f>
        <v>0</v>
      </c>
      <c r="K78" s="42">
        <f>SUMIF('B. Special Mob Strand - Student'!B:B,B78,'B. Special Mob Strand - Student'!N:N)+SUMIF('B. Special Mob Strand - Staff'!B:B,B78,'B. Special Mob Strand - Staff'!N:N)</f>
        <v>0</v>
      </c>
      <c r="L78" s="43">
        <f t="shared" si="1"/>
        <v>0</v>
      </c>
    </row>
    <row r="79" spans="2:12" x14ac:dyDescent="0.35">
      <c r="B79" s="123" t="s">
        <v>147</v>
      </c>
      <c r="C79" s="44"/>
      <c r="D79" s="39"/>
      <c r="E79" s="40" t="str">
        <f t="shared" si="0"/>
        <v/>
      </c>
      <c r="F79" s="41">
        <f>SUMIF('1. Staff costs'!C:C,B79,'1. Staff costs'!S:S)</f>
        <v>0</v>
      </c>
      <c r="G79" s="41">
        <f>SUMIF('2-3. Travel Costs&amp;Costs of Stay'!C:C,B79,'2-3. Travel Costs&amp;Costs of Stay'!L:L)</f>
        <v>0</v>
      </c>
      <c r="H79" s="41">
        <f>SUMIF('2-3. Travel Costs&amp;Costs of Stay'!C:C,B79,'2-3. Travel Costs&amp;Costs of Stay'!M:M)</f>
        <v>0</v>
      </c>
      <c r="I79" s="41">
        <f>SUMIF('4. Equipment Costs'!C:C,B79,'4. Equipment Costs'!H:H)</f>
        <v>0</v>
      </c>
      <c r="J79" s="41">
        <f>SUMIF('5. Subcontracting Costs'!C:C,B79,'5. Subcontracting Costs'!H:H)</f>
        <v>0</v>
      </c>
      <c r="K79" s="42">
        <f>SUMIF('B. Special Mob Strand - Student'!B:B,B79,'B. Special Mob Strand - Student'!N:N)+SUMIF('B. Special Mob Strand - Staff'!B:B,B79,'B. Special Mob Strand - Staff'!N:N)</f>
        <v>0</v>
      </c>
      <c r="L79" s="43">
        <f t="shared" si="1"/>
        <v>0</v>
      </c>
    </row>
    <row r="80" spans="2:12" x14ac:dyDescent="0.35">
      <c r="B80" s="123" t="s">
        <v>148</v>
      </c>
      <c r="C80" s="44"/>
      <c r="D80" s="39"/>
      <c r="E80" s="40" t="str">
        <f t="shared" si="0"/>
        <v/>
      </c>
      <c r="F80" s="41">
        <f>SUMIF('1. Staff costs'!C:C,B80,'1. Staff costs'!S:S)</f>
        <v>0</v>
      </c>
      <c r="G80" s="41">
        <f>SUMIF('2-3. Travel Costs&amp;Costs of Stay'!C:C,B80,'2-3. Travel Costs&amp;Costs of Stay'!L:L)</f>
        <v>0</v>
      </c>
      <c r="H80" s="41">
        <f>SUMIF('2-3. Travel Costs&amp;Costs of Stay'!C:C,B80,'2-3. Travel Costs&amp;Costs of Stay'!M:M)</f>
        <v>0</v>
      </c>
      <c r="I80" s="41">
        <f>SUMIF('4. Equipment Costs'!C:C,B80,'4. Equipment Costs'!H:H)</f>
        <v>0</v>
      </c>
      <c r="J80" s="41">
        <f>SUMIF('5. Subcontracting Costs'!C:C,B80,'5. Subcontracting Costs'!H:H)</f>
        <v>0</v>
      </c>
      <c r="K80" s="42">
        <f>SUMIF('B. Special Mob Strand - Student'!B:B,B80,'B. Special Mob Strand - Student'!N:N)+SUMIF('B. Special Mob Strand - Staff'!B:B,B80,'B. Special Mob Strand - Staff'!N:N)</f>
        <v>0</v>
      </c>
      <c r="L80" s="43">
        <f t="shared" si="1"/>
        <v>0</v>
      </c>
    </row>
    <row r="81" spans="2:12" x14ac:dyDescent="0.35">
      <c r="B81" s="123" t="s">
        <v>149</v>
      </c>
      <c r="C81" s="44"/>
      <c r="D81" s="39"/>
      <c r="E81" s="40" t="str">
        <f t="shared" si="0"/>
        <v/>
      </c>
      <c r="F81" s="41">
        <f>SUMIF('1. Staff costs'!C:C,B81,'1. Staff costs'!S:S)</f>
        <v>0</v>
      </c>
      <c r="G81" s="41">
        <f>SUMIF('2-3. Travel Costs&amp;Costs of Stay'!C:C,B81,'2-3. Travel Costs&amp;Costs of Stay'!L:L)</f>
        <v>0</v>
      </c>
      <c r="H81" s="41">
        <f>SUMIF('2-3. Travel Costs&amp;Costs of Stay'!C:C,B81,'2-3. Travel Costs&amp;Costs of Stay'!M:M)</f>
        <v>0</v>
      </c>
      <c r="I81" s="41">
        <f>SUMIF('4. Equipment Costs'!C:C,B81,'4. Equipment Costs'!H:H)</f>
        <v>0</v>
      </c>
      <c r="J81" s="41">
        <f>SUMIF('5. Subcontracting Costs'!C:C,B81,'5. Subcontracting Costs'!H:H)</f>
        <v>0</v>
      </c>
      <c r="K81" s="42">
        <f>SUMIF('B. Special Mob Strand - Student'!B:B,B81,'B. Special Mob Strand - Student'!N:N)+SUMIF('B. Special Mob Strand - Staff'!B:B,B81,'B. Special Mob Strand - Staff'!N:N)</f>
        <v>0</v>
      </c>
      <c r="L81" s="43">
        <f t="shared" si="1"/>
        <v>0</v>
      </c>
    </row>
    <row r="82" spans="2:12" x14ac:dyDescent="0.35">
      <c r="B82" s="123" t="s">
        <v>150</v>
      </c>
      <c r="C82" s="44"/>
      <c r="D82" s="39"/>
      <c r="E82" s="40" t="str">
        <f t="shared" si="0"/>
        <v/>
      </c>
      <c r="F82" s="41">
        <f>SUMIF('1. Staff costs'!C:C,B82,'1. Staff costs'!S:S)</f>
        <v>0</v>
      </c>
      <c r="G82" s="41">
        <f>SUMIF('2-3. Travel Costs&amp;Costs of Stay'!C:C,B82,'2-3. Travel Costs&amp;Costs of Stay'!L:L)</f>
        <v>0</v>
      </c>
      <c r="H82" s="41">
        <f>SUMIF('2-3. Travel Costs&amp;Costs of Stay'!C:C,B82,'2-3. Travel Costs&amp;Costs of Stay'!M:M)</f>
        <v>0</v>
      </c>
      <c r="I82" s="41">
        <f>SUMIF('4. Equipment Costs'!C:C,B82,'4. Equipment Costs'!H:H)</f>
        <v>0</v>
      </c>
      <c r="J82" s="41">
        <f>SUMIF('5. Subcontracting Costs'!C:C,B82,'5. Subcontracting Costs'!H:H)</f>
        <v>0</v>
      </c>
      <c r="K82" s="42">
        <f>SUMIF('B. Special Mob Strand - Student'!B:B,B82,'B. Special Mob Strand - Student'!N:N)+SUMIF('B. Special Mob Strand - Staff'!B:B,B82,'B. Special Mob Strand - Staff'!N:N)</f>
        <v>0</v>
      </c>
      <c r="L82" s="43">
        <f t="shared" si="1"/>
        <v>0</v>
      </c>
    </row>
    <row r="83" spans="2:12" x14ac:dyDescent="0.35">
      <c r="B83" s="123" t="s">
        <v>163</v>
      </c>
      <c r="C83" s="44"/>
      <c r="D83" s="39"/>
      <c r="E83" s="40" t="str">
        <f t="shared" si="0"/>
        <v/>
      </c>
      <c r="F83" s="41">
        <f>SUMIF('1. Staff costs'!C:C,B83,'1. Staff costs'!S:S)</f>
        <v>0</v>
      </c>
      <c r="G83" s="41">
        <f>SUMIF('2-3. Travel Costs&amp;Costs of Stay'!C:C,B83,'2-3. Travel Costs&amp;Costs of Stay'!L:L)</f>
        <v>0</v>
      </c>
      <c r="H83" s="41">
        <f>SUMIF('2-3. Travel Costs&amp;Costs of Stay'!C:C,B83,'2-3. Travel Costs&amp;Costs of Stay'!M:M)</f>
        <v>0</v>
      </c>
      <c r="I83" s="41">
        <f>SUMIF('4. Equipment Costs'!C:C,B83,'4. Equipment Costs'!H:H)</f>
        <v>0</v>
      </c>
      <c r="J83" s="41">
        <f>SUMIF('5. Subcontracting Costs'!C:C,B83,'5. Subcontracting Costs'!H:H)</f>
        <v>0</v>
      </c>
      <c r="K83" s="42">
        <f>SUMIF('B. Special Mob Strand - Student'!B:B,B83,'B. Special Mob Strand - Student'!N:N)+SUMIF('B. Special Mob Strand - Staff'!B:B,B83,'B. Special Mob Strand - Staff'!N:N)</f>
        <v>0</v>
      </c>
      <c r="L83" s="43">
        <f t="shared" si="1"/>
        <v>0</v>
      </c>
    </row>
    <row r="84" spans="2:12" x14ac:dyDescent="0.35">
      <c r="B84" s="123" t="s">
        <v>164</v>
      </c>
      <c r="C84" s="44"/>
      <c r="D84" s="39"/>
      <c r="E84" s="40" t="str">
        <f t="shared" si="0"/>
        <v/>
      </c>
      <c r="F84" s="41">
        <f>SUMIF('1. Staff costs'!C:C,B84,'1. Staff costs'!S:S)</f>
        <v>0</v>
      </c>
      <c r="G84" s="41">
        <f>SUMIF('2-3. Travel Costs&amp;Costs of Stay'!C:C,B84,'2-3. Travel Costs&amp;Costs of Stay'!L:L)</f>
        <v>0</v>
      </c>
      <c r="H84" s="41">
        <f>SUMIF('2-3. Travel Costs&amp;Costs of Stay'!C:C,B84,'2-3. Travel Costs&amp;Costs of Stay'!M:M)</f>
        <v>0</v>
      </c>
      <c r="I84" s="41">
        <f>SUMIF('4. Equipment Costs'!C:C,B84,'4. Equipment Costs'!H:H)</f>
        <v>0</v>
      </c>
      <c r="J84" s="41">
        <f>SUMIF('5. Subcontracting Costs'!C:C,B84,'5. Subcontracting Costs'!H:H)</f>
        <v>0</v>
      </c>
      <c r="K84" s="42">
        <f>SUMIF('B. Special Mob Strand - Student'!B:B,B84,'B. Special Mob Strand - Student'!N:N)+SUMIF('B. Special Mob Strand - Staff'!B:B,B84,'B. Special Mob Strand - Staff'!N:N)</f>
        <v>0</v>
      </c>
      <c r="L84" s="43">
        <f t="shared" si="1"/>
        <v>0</v>
      </c>
    </row>
    <row r="85" spans="2:12" x14ac:dyDescent="0.35">
      <c r="B85" s="123" t="s">
        <v>165</v>
      </c>
      <c r="C85" s="44"/>
      <c r="D85" s="39"/>
      <c r="E85" s="40" t="str">
        <f t="shared" si="0"/>
        <v/>
      </c>
      <c r="F85" s="41">
        <f>SUMIF('1. Staff costs'!C:C,B85,'1. Staff costs'!S:S)</f>
        <v>0</v>
      </c>
      <c r="G85" s="41">
        <f>SUMIF('2-3. Travel Costs&amp;Costs of Stay'!C:C,B85,'2-3. Travel Costs&amp;Costs of Stay'!L:L)</f>
        <v>0</v>
      </c>
      <c r="H85" s="41">
        <f>SUMIF('2-3. Travel Costs&amp;Costs of Stay'!C:C,B85,'2-3. Travel Costs&amp;Costs of Stay'!M:M)</f>
        <v>0</v>
      </c>
      <c r="I85" s="41">
        <f>SUMIF('4. Equipment Costs'!C:C,B85,'4. Equipment Costs'!H:H)</f>
        <v>0</v>
      </c>
      <c r="J85" s="41">
        <f>SUMIF('5. Subcontracting Costs'!C:C,B85,'5. Subcontracting Costs'!H:H)</f>
        <v>0</v>
      </c>
      <c r="K85" s="42">
        <f>SUMIF('B. Special Mob Strand - Student'!B:B,B85,'B. Special Mob Strand - Student'!N:N)+SUMIF('B. Special Mob Strand - Staff'!B:B,B85,'B. Special Mob Strand - Staff'!N:N)</f>
        <v>0</v>
      </c>
      <c r="L85" s="43">
        <f t="shared" si="1"/>
        <v>0</v>
      </c>
    </row>
    <row r="86" spans="2:12" x14ac:dyDescent="0.35">
      <c r="B86" s="123" t="s">
        <v>166</v>
      </c>
      <c r="C86" s="44"/>
      <c r="D86" s="39"/>
      <c r="E86" s="40" t="str">
        <f t="shared" si="0"/>
        <v/>
      </c>
      <c r="F86" s="41">
        <f>SUMIF('1. Staff costs'!C:C,B86,'1. Staff costs'!S:S)</f>
        <v>0</v>
      </c>
      <c r="G86" s="41">
        <f>SUMIF('2-3. Travel Costs&amp;Costs of Stay'!C:C,B86,'2-3. Travel Costs&amp;Costs of Stay'!L:L)</f>
        <v>0</v>
      </c>
      <c r="H86" s="41">
        <f>SUMIF('2-3. Travel Costs&amp;Costs of Stay'!C:C,B86,'2-3. Travel Costs&amp;Costs of Stay'!M:M)</f>
        <v>0</v>
      </c>
      <c r="I86" s="41">
        <f>SUMIF('4. Equipment Costs'!C:C,B86,'4. Equipment Costs'!H:H)</f>
        <v>0</v>
      </c>
      <c r="J86" s="41">
        <f>SUMIF('5. Subcontracting Costs'!C:C,B86,'5. Subcontracting Costs'!H:H)</f>
        <v>0</v>
      </c>
      <c r="K86" s="42">
        <f>SUMIF('B. Special Mob Strand - Student'!B:B,B86,'B. Special Mob Strand - Student'!N:N)+SUMIF('B. Special Mob Strand - Staff'!B:B,B86,'B. Special Mob Strand - Staff'!N:N)</f>
        <v>0</v>
      </c>
      <c r="L86" s="43">
        <f t="shared" si="1"/>
        <v>0</v>
      </c>
    </row>
    <row r="87" spans="2:12" x14ac:dyDescent="0.35">
      <c r="B87" s="123" t="s">
        <v>167</v>
      </c>
      <c r="C87" s="44"/>
      <c r="D87" s="39"/>
      <c r="E87" s="40" t="str">
        <f t="shared" si="0"/>
        <v/>
      </c>
      <c r="F87" s="41">
        <f>SUMIF('1. Staff costs'!C:C,B87,'1. Staff costs'!S:S)</f>
        <v>0</v>
      </c>
      <c r="G87" s="41">
        <f>SUMIF('2-3. Travel Costs&amp;Costs of Stay'!C:C,B87,'2-3. Travel Costs&amp;Costs of Stay'!L:L)</f>
        <v>0</v>
      </c>
      <c r="H87" s="41">
        <f>SUMIF('2-3. Travel Costs&amp;Costs of Stay'!C:C,B87,'2-3. Travel Costs&amp;Costs of Stay'!M:M)</f>
        <v>0</v>
      </c>
      <c r="I87" s="41">
        <f>SUMIF('4. Equipment Costs'!C:C,B87,'4. Equipment Costs'!H:H)</f>
        <v>0</v>
      </c>
      <c r="J87" s="41">
        <f>SUMIF('5. Subcontracting Costs'!C:C,B87,'5. Subcontracting Costs'!H:H)</f>
        <v>0</v>
      </c>
      <c r="K87" s="42">
        <f>SUMIF('B. Special Mob Strand - Student'!B:B,B87,'B. Special Mob Strand - Student'!N:N)+SUMIF('B. Special Mob Strand - Staff'!B:B,B87,'B. Special Mob Strand - Staff'!N:N)</f>
        <v>0</v>
      </c>
      <c r="L87" s="43">
        <f t="shared" si="1"/>
        <v>0</v>
      </c>
    </row>
  </sheetData>
  <sheetProtection password="E359" sheet="1" objects="1" scenarios="1" selectLockedCells="1"/>
  <mergeCells count="36">
    <mergeCell ref="I24:I27"/>
    <mergeCell ref="K24:K27"/>
    <mergeCell ref="G27:H27"/>
    <mergeCell ref="G26:H26"/>
    <mergeCell ref="G25:H25"/>
    <mergeCell ref="G24:H24"/>
    <mergeCell ref="E17:L17"/>
    <mergeCell ref="B7:L7"/>
    <mergeCell ref="B8:L8"/>
    <mergeCell ref="B9:L9"/>
    <mergeCell ref="B11:C11"/>
    <mergeCell ref="B12:C12"/>
    <mergeCell ref="B13:C13"/>
    <mergeCell ref="B16:L16"/>
    <mergeCell ref="B17:C17"/>
    <mergeCell ref="E13:L13"/>
    <mergeCell ref="E12:L12"/>
    <mergeCell ref="E11:L11"/>
    <mergeCell ref="B14:C14"/>
    <mergeCell ref="D14:L14"/>
    <mergeCell ref="B31:L31"/>
    <mergeCell ref="B18:C18"/>
    <mergeCell ref="B19:C19"/>
    <mergeCell ref="B20:C20"/>
    <mergeCell ref="B21:C21"/>
    <mergeCell ref="B29:C29"/>
    <mergeCell ref="B22:C22"/>
    <mergeCell ref="E22:L22"/>
    <mergeCell ref="E29:L29"/>
    <mergeCell ref="E21:L21"/>
    <mergeCell ref="E20:L20"/>
    <mergeCell ref="E19:L19"/>
    <mergeCell ref="E18:L18"/>
    <mergeCell ref="B24:C27"/>
    <mergeCell ref="D24:D27"/>
    <mergeCell ref="E24:F27"/>
  </mergeCells>
  <conditionalFormatting sqref="D17">
    <cfRule type="expression" dxfId="791" priority="16">
      <formula>D17&gt;ROUND(D22*0.4,2)</formula>
    </cfRule>
  </conditionalFormatting>
  <conditionalFormatting sqref="D20">
    <cfRule type="expression" dxfId="790" priority="14">
      <formula>D20&gt;ROUND(D22*0.3,2)</formula>
    </cfRule>
  </conditionalFormatting>
  <conditionalFormatting sqref="D21">
    <cfRule type="expression" dxfId="789" priority="12">
      <formula>D21&gt;ROUND(D22*0.1,2)</formula>
    </cfRule>
  </conditionalFormatting>
  <conditionalFormatting sqref="D22">
    <cfRule type="cellIs" dxfId="788" priority="10" operator="notBetween">
      <formula>500000</formula>
      <formula>1000000</formula>
    </cfRule>
  </conditionalFormatting>
  <conditionalFormatting sqref="D24:D27">
    <cfRule type="expression" dxfId="787" priority="1">
      <formula>D24&gt;ROUND(D22*0.8,2)</formula>
    </cfRule>
  </conditionalFormatting>
  <dataValidations xWindow="516" yWindow="728" count="6">
    <dataValidation type="list" allowBlank="1" showInputMessage="1" showErrorMessage="1" error="Click arrow to select Action Type" prompt="Click arrow to select Action Type" sqref="D11">
      <formula1>ActionType</formula1>
    </dataValidation>
    <dataValidation type="list" allowBlank="1" showInputMessage="1" showErrorMessage="1" error="Click arrow to select Duration" prompt="Click arrow to select Duration" sqref="D12">
      <formula1>Duration</formula1>
    </dataValidation>
    <dataValidation type="textLength" allowBlank="1" showInputMessage="1" showErrorMessage="1" error="Max 25 characters" prompt="Max 25 characters" sqref="D13">
      <formula1>0</formula1>
      <formula2>25</formula2>
    </dataValidation>
    <dataValidation type="textLength" allowBlank="1" showInputMessage="1" showErrorMessage="1" error="Max 130 characters" prompt="Max 130 characters" sqref="D14:L14">
      <formula1>0</formula1>
      <formula2>130</formula2>
    </dataValidation>
    <dataValidation type="textLength" allowBlank="1" showInputMessage="1" showErrorMessage="1" error="Max 60 characters" prompt="Max 60 characters" sqref="C33:C87">
      <formula1>0</formula1>
      <formula2>60</formula2>
    </dataValidation>
    <dataValidation type="list" allowBlank="1" showInputMessage="1" showErrorMessage="1" error="Click arrow to select Country " prompt="Click arrow to select Country " sqref="D33:D87">
      <formula1>CountryALL</formula1>
    </dataValidation>
  </dataValidations>
  <printOptions horizontalCentered="1"/>
  <pageMargins left="0.39370078740157483" right="0.39370078740157483" top="0.74803149606299213" bottom="0.74803149606299213" header="0.31496062992125984" footer="0.31496062992125984"/>
  <pageSetup paperSize="9" scale="33" orientation="portrait" r:id="rId1"/>
  <headerFooter>
    <oddFooter>&amp;CPage &amp;P of 3</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25" operator="containsText" id="{E65218D7-2FC9-4B62-9B72-6C3DD4C05A77}">
            <xm:f>NOT(ISERROR(SEARCH("Country not found",E33)))</xm:f>
            <xm:f>"Country not found"</xm:f>
            <x14:dxf>
              <font>
                <b/>
                <i val="0"/>
                <color theme="1"/>
              </font>
              <fill>
                <patternFill>
                  <bgColor rgb="FFFF0000"/>
                </patternFill>
              </fill>
            </x14:dxf>
          </x14:cfRule>
          <xm:sqref>E33:E87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182"/>
  <sheetViews>
    <sheetView zoomScale="70" zoomScaleNormal="70" workbookViewId="0">
      <selection activeCell="C3" sqref="C3"/>
    </sheetView>
  </sheetViews>
  <sheetFormatPr defaultColWidth="9.109375" defaultRowHeight="14.4" x14ac:dyDescent="0.3"/>
  <cols>
    <col min="1" max="1" width="1.6640625" style="10" customWidth="1"/>
    <col min="2" max="2" width="18.6640625" style="10" customWidth="1"/>
    <col min="3" max="3" width="39.5546875" style="1" bestFit="1" customWidth="1"/>
    <col min="4" max="4" width="21.6640625" style="1" bestFit="1" customWidth="1"/>
    <col min="5" max="12" width="18.6640625" style="1" customWidth="1"/>
    <col min="13" max="13" width="1.6640625" style="1" customWidth="1"/>
    <col min="14" max="14" width="40.88671875" style="1" bestFit="1" customWidth="1"/>
    <col min="15" max="15" width="1.6640625" style="1" customWidth="1"/>
    <col min="16" max="16" width="42.6640625" style="1" customWidth="1"/>
    <col min="17" max="17" width="12.88671875" style="1" customWidth="1"/>
    <col min="18" max="16384" width="9.109375" style="1"/>
  </cols>
  <sheetData>
    <row r="1" spans="2:17" ht="9.9" customHeight="1" x14ac:dyDescent="0.3"/>
    <row r="2" spans="2:17" ht="24.9" customHeight="1" x14ac:dyDescent="0.3">
      <c r="C2" s="10"/>
      <c r="D2" s="10"/>
      <c r="E2" s="213" t="s">
        <v>162</v>
      </c>
      <c r="F2" s="213"/>
      <c r="G2" s="213"/>
      <c r="H2" s="213"/>
      <c r="I2" s="213" t="s">
        <v>349</v>
      </c>
      <c r="J2" s="213"/>
      <c r="K2" s="213"/>
      <c r="L2" s="213"/>
    </row>
    <row r="3" spans="2:17" ht="82.5" customHeight="1" x14ac:dyDescent="0.3">
      <c r="C3" s="2" t="s">
        <v>0</v>
      </c>
      <c r="D3" s="2" t="s">
        <v>182</v>
      </c>
      <c r="E3" s="2" t="s">
        <v>135</v>
      </c>
      <c r="F3" s="3" t="s">
        <v>133</v>
      </c>
      <c r="G3" s="2" t="s">
        <v>361</v>
      </c>
      <c r="H3" s="3" t="s">
        <v>359</v>
      </c>
      <c r="I3" s="9" t="s">
        <v>220</v>
      </c>
      <c r="J3" s="9" t="s">
        <v>221</v>
      </c>
      <c r="K3" s="9" t="s">
        <v>224</v>
      </c>
      <c r="L3" s="9" t="s">
        <v>225</v>
      </c>
      <c r="N3" s="3" t="s">
        <v>348</v>
      </c>
      <c r="P3" s="3" t="s">
        <v>28</v>
      </c>
      <c r="Q3" s="3" t="s">
        <v>177</v>
      </c>
    </row>
    <row r="4" spans="2:17" x14ac:dyDescent="0.3">
      <c r="B4" s="116">
        <v>1</v>
      </c>
      <c r="C4" s="4" t="s">
        <v>4</v>
      </c>
      <c r="D4" s="4" t="s">
        <v>208</v>
      </c>
      <c r="E4" s="5">
        <v>294</v>
      </c>
      <c r="F4" s="5">
        <v>241</v>
      </c>
      <c r="G4" s="5">
        <v>190</v>
      </c>
      <c r="H4" s="5">
        <v>157</v>
      </c>
      <c r="I4" s="6">
        <v>850</v>
      </c>
      <c r="J4" s="6">
        <v>0</v>
      </c>
      <c r="K4" s="7">
        <v>140</v>
      </c>
      <c r="L4" s="8">
        <v>0</v>
      </c>
      <c r="N4" s="4" t="s">
        <v>4</v>
      </c>
      <c r="P4" s="4" t="s">
        <v>329</v>
      </c>
      <c r="Q4" s="4">
        <v>0</v>
      </c>
    </row>
    <row r="5" spans="2:17" x14ac:dyDescent="0.3">
      <c r="B5" s="116">
        <v>2</v>
      </c>
      <c r="C5" s="4" t="s">
        <v>5</v>
      </c>
      <c r="D5" s="4" t="s">
        <v>208</v>
      </c>
      <c r="E5" s="5">
        <v>280</v>
      </c>
      <c r="F5" s="5">
        <v>214</v>
      </c>
      <c r="G5" s="5">
        <v>162</v>
      </c>
      <c r="H5" s="5">
        <v>131</v>
      </c>
      <c r="I5" s="6">
        <v>800</v>
      </c>
      <c r="J5" s="6">
        <v>0</v>
      </c>
      <c r="K5" s="7">
        <v>140</v>
      </c>
      <c r="L5" s="8">
        <v>0</v>
      </c>
      <c r="N5" s="4" t="s">
        <v>5</v>
      </c>
      <c r="P5" s="4" t="s">
        <v>153</v>
      </c>
      <c r="Q5" s="4">
        <v>180</v>
      </c>
    </row>
    <row r="6" spans="2:17" x14ac:dyDescent="0.3">
      <c r="B6" s="116">
        <v>3</v>
      </c>
      <c r="C6" s="4" t="s">
        <v>7</v>
      </c>
      <c r="D6" s="4" t="s">
        <v>208</v>
      </c>
      <c r="E6" s="5">
        <v>88</v>
      </c>
      <c r="F6" s="5">
        <v>74</v>
      </c>
      <c r="G6" s="5">
        <v>55</v>
      </c>
      <c r="H6" s="5">
        <v>39</v>
      </c>
      <c r="I6" s="6">
        <v>750</v>
      </c>
      <c r="J6" s="6">
        <v>0</v>
      </c>
      <c r="K6" s="7">
        <v>140</v>
      </c>
      <c r="L6" s="8">
        <v>0</v>
      </c>
      <c r="N6" s="4" t="s">
        <v>7</v>
      </c>
      <c r="P6" s="4" t="s">
        <v>154</v>
      </c>
      <c r="Q6" s="4">
        <v>275</v>
      </c>
    </row>
    <row r="7" spans="2:17" x14ac:dyDescent="0.3">
      <c r="B7" s="116">
        <v>4</v>
      </c>
      <c r="C7" s="4" t="s">
        <v>47</v>
      </c>
      <c r="D7" s="4" t="s">
        <v>208</v>
      </c>
      <c r="E7" s="5">
        <v>88</v>
      </c>
      <c r="F7" s="5">
        <v>74</v>
      </c>
      <c r="G7" s="5">
        <v>55</v>
      </c>
      <c r="H7" s="5">
        <v>39</v>
      </c>
      <c r="I7" s="6">
        <v>800</v>
      </c>
      <c r="J7" s="6">
        <v>0</v>
      </c>
      <c r="K7" s="7">
        <v>100</v>
      </c>
      <c r="L7" s="8">
        <v>0</v>
      </c>
      <c r="N7" s="4" t="s">
        <v>47</v>
      </c>
      <c r="P7" s="4" t="s">
        <v>155</v>
      </c>
      <c r="Q7" s="4">
        <v>360</v>
      </c>
    </row>
    <row r="8" spans="2:17" x14ac:dyDescent="0.3">
      <c r="B8" s="116">
        <v>5</v>
      </c>
      <c r="C8" s="4" t="s">
        <v>6</v>
      </c>
      <c r="D8" s="4" t="s">
        <v>208</v>
      </c>
      <c r="E8" s="5">
        <v>164</v>
      </c>
      <c r="F8" s="5">
        <v>137</v>
      </c>
      <c r="G8" s="5">
        <v>102</v>
      </c>
      <c r="H8" s="5">
        <v>78</v>
      </c>
      <c r="I8" s="6">
        <v>800</v>
      </c>
      <c r="J8" s="6">
        <v>0</v>
      </c>
      <c r="K8" s="7">
        <v>140</v>
      </c>
      <c r="L8" s="8">
        <v>0</v>
      </c>
      <c r="N8" s="4" t="s">
        <v>6</v>
      </c>
      <c r="P8" s="4" t="s">
        <v>158</v>
      </c>
      <c r="Q8" s="4">
        <v>530</v>
      </c>
    </row>
    <row r="9" spans="2:17" x14ac:dyDescent="0.3">
      <c r="B9" s="116">
        <v>6</v>
      </c>
      <c r="C9" s="4" t="s">
        <v>41</v>
      </c>
      <c r="D9" s="4" t="s">
        <v>208</v>
      </c>
      <c r="E9" s="5">
        <v>164</v>
      </c>
      <c r="F9" s="5">
        <v>137</v>
      </c>
      <c r="G9" s="5">
        <v>102</v>
      </c>
      <c r="H9" s="5">
        <v>78</v>
      </c>
      <c r="I9" s="6">
        <v>800</v>
      </c>
      <c r="J9" s="6">
        <v>0</v>
      </c>
      <c r="K9" s="7">
        <v>140</v>
      </c>
      <c r="L9" s="8">
        <v>0</v>
      </c>
      <c r="N9" s="4" t="s">
        <v>41</v>
      </c>
      <c r="P9" s="4" t="s">
        <v>159</v>
      </c>
      <c r="Q9" s="4">
        <v>820</v>
      </c>
    </row>
    <row r="10" spans="2:17" x14ac:dyDescent="0.3">
      <c r="B10" s="116">
        <v>7</v>
      </c>
      <c r="C10" s="4" t="s">
        <v>29</v>
      </c>
      <c r="D10" s="4" t="s">
        <v>208</v>
      </c>
      <c r="E10" s="5">
        <v>294</v>
      </c>
      <c r="F10" s="5">
        <v>241</v>
      </c>
      <c r="G10" s="5">
        <v>190</v>
      </c>
      <c r="H10" s="5">
        <v>157</v>
      </c>
      <c r="I10" s="6">
        <v>850</v>
      </c>
      <c r="J10" s="6">
        <v>0</v>
      </c>
      <c r="K10" s="7">
        <v>160</v>
      </c>
      <c r="L10" s="8">
        <v>0</v>
      </c>
      <c r="N10" s="4" t="s">
        <v>29</v>
      </c>
      <c r="P10" s="4" t="s">
        <v>156</v>
      </c>
      <c r="Q10" s="4">
        <v>1100</v>
      </c>
    </row>
    <row r="11" spans="2:17" x14ac:dyDescent="0.3">
      <c r="B11" s="116">
        <v>8</v>
      </c>
      <c r="C11" s="4" t="s">
        <v>48</v>
      </c>
      <c r="D11" s="4" t="s">
        <v>208</v>
      </c>
      <c r="E11" s="5">
        <v>88</v>
      </c>
      <c r="F11" s="5">
        <v>74</v>
      </c>
      <c r="G11" s="5">
        <v>55</v>
      </c>
      <c r="H11" s="5">
        <v>39</v>
      </c>
      <c r="I11" s="6">
        <v>750</v>
      </c>
      <c r="J11" s="6">
        <v>0</v>
      </c>
      <c r="K11" s="7">
        <v>100</v>
      </c>
      <c r="L11" s="8">
        <v>0</v>
      </c>
      <c r="N11" s="4" t="s">
        <v>48</v>
      </c>
    </row>
    <row r="12" spans="2:17" x14ac:dyDescent="0.3">
      <c r="B12" s="116">
        <v>9</v>
      </c>
      <c r="C12" s="4" t="s">
        <v>35</v>
      </c>
      <c r="D12" s="4" t="s">
        <v>208</v>
      </c>
      <c r="E12" s="5">
        <v>280</v>
      </c>
      <c r="F12" s="5">
        <v>214</v>
      </c>
      <c r="G12" s="5">
        <v>162</v>
      </c>
      <c r="H12" s="5">
        <v>131</v>
      </c>
      <c r="I12" s="6">
        <v>850</v>
      </c>
      <c r="J12" s="6">
        <v>0</v>
      </c>
      <c r="K12" s="7">
        <v>140</v>
      </c>
      <c r="L12" s="8">
        <v>0</v>
      </c>
      <c r="N12" s="4" t="s">
        <v>35</v>
      </c>
      <c r="P12" s="2" t="s">
        <v>336</v>
      </c>
      <c r="Q12" s="108"/>
    </row>
    <row r="13" spans="2:17" x14ac:dyDescent="0.3">
      <c r="B13" s="116">
        <v>10</v>
      </c>
      <c r="C13" s="4" t="s">
        <v>256</v>
      </c>
      <c r="D13" s="4" t="s">
        <v>208</v>
      </c>
      <c r="E13" s="5">
        <v>88</v>
      </c>
      <c r="F13" s="5">
        <v>74</v>
      </c>
      <c r="G13" s="5">
        <v>55</v>
      </c>
      <c r="H13" s="5">
        <v>39</v>
      </c>
      <c r="I13" s="6">
        <v>750</v>
      </c>
      <c r="J13" s="6">
        <v>0</v>
      </c>
      <c r="K13" s="7">
        <v>120</v>
      </c>
      <c r="L13" s="8">
        <v>0</v>
      </c>
      <c r="N13" s="4" t="s">
        <v>256</v>
      </c>
      <c r="P13" s="103" t="s">
        <v>179</v>
      </c>
      <c r="Q13" s="109"/>
    </row>
    <row r="14" spans="2:17" x14ac:dyDescent="0.3">
      <c r="B14" s="116">
        <v>11</v>
      </c>
      <c r="C14" s="4" t="s">
        <v>36</v>
      </c>
      <c r="D14" s="4" t="s">
        <v>208</v>
      </c>
      <c r="E14" s="5">
        <v>280</v>
      </c>
      <c r="F14" s="5">
        <v>214</v>
      </c>
      <c r="G14" s="5">
        <v>162</v>
      </c>
      <c r="H14" s="5">
        <v>131</v>
      </c>
      <c r="I14" s="6">
        <v>850</v>
      </c>
      <c r="J14" s="6">
        <v>0</v>
      </c>
      <c r="K14" s="7">
        <v>140</v>
      </c>
      <c r="L14" s="8">
        <v>0</v>
      </c>
      <c r="N14" s="4" t="s">
        <v>36</v>
      </c>
      <c r="P14" s="103" t="s">
        <v>178</v>
      </c>
      <c r="Q14" s="109"/>
    </row>
    <row r="15" spans="2:17" x14ac:dyDescent="0.3">
      <c r="B15" s="116">
        <v>12</v>
      </c>
      <c r="C15" s="4" t="s">
        <v>37</v>
      </c>
      <c r="D15" s="4" t="s">
        <v>208</v>
      </c>
      <c r="E15" s="5">
        <v>280</v>
      </c>
      <c r="F15" s="5">
        <v>214</v>
      </c>
      <c r="G15" s="5">
        <v>162</v>
      </c>
      <c r="H15" s="5">
        <v>131</v>
      </c>
      <c r="I15" s="6">
        <v>800</v>
      </c>
      <c r="J15" s="6">
        <v>0</v>
      </c>
      <c r="K15" s="7">
        <v>120</v>
      </c>
      <c r="L15" s="8">
        <v>0</v>
      </c>
      <c r="N15" s="4" t="s">
        <v>37</v>
      </c>
      <c r="P15" s="103" t="s">
        <v>366</v>
      </c>
      <c r="Q15" s="109"/>
    </row>
    <row r="16" spans="2:17" x14ac:dyDescent="0.3">
      <c r="B16" s="116">
        <v>13</v>
      </c>
      <c r="C16" s="4" t="s">
        <v>42</v>
      </c>
      <c r="D16" s="4" t="s">
        <v>208</v>
      </c>
      <c r="E16" s="5">
        <v>164</v>
      </c>
      <c r="F16" s="5">
        <v>137</v>
      </c>
      <c r="G16" s="5">
        <v>102</v>
      </c>
      <c r="H16" s="5">
        <v>78</v>
      </c>
      <c r="I16" s="6">
        <v>800</v>
      </c>
      <c r="J16" s="6">
        <v>0</v>
      </c>
      <c r="K16" s="7">
        <v>140</v>
      </c>
      <c r="L16" s="8">
        <v>0</v>
      </c>
      <c r="N16" s="4" t="s">
        <v>42</v>
      </c>
      <c r="P16" s="103" t="s">
        <v>372</v>
      </c>
      <c r="Q16" s="109"/>
    </row>
    <row r="17" spans="2:17" x14ac:dyDescent="0.3">
      <c r="B17" s="116">
        <v>14</v>
      </c>
      <c r="C17" s="4" t="s">
        <v>49</v>
      </c>
      <c r="D17" s="4" t="s">
        <v>208</v>
      </c>
      <c r="E17" s="5">
        <v>88</v>
      </c>
      <c r="F17" s="5">
        <v>74</v>
      </c>
      <c r="G17" s="5">
        <v>55</v>
      </c>
      <c r="H17" s="5">
        <v>39</v>
      </c>
      <c r="I17" s="6">
        <v>750</v>
      </c>
      <c r="J17" s="6">
        <v>0</v>
      </c>
      <c r="K17" s="7">
        <v>140</v>
      </c>
      <c r="L17" s="8">
        <v>0</v>
      </c>
      <c r="N17" s="4" t="s">
        <v>49</v>
      </c>
      <c r="P17" s="103" t="s">
        <v>180</v>
      </c>
      <c r="Q17" s="109"/>
    </row>
    <row r="18" spans="2:17" x14ac:dyDescent="0.3">
      <c r="B18" s="116">
        <v>15</v>
      </c>
      <c r="C18" s="4" t="s">
        <v>38</v>
      </c>
      <c r="D18" s="4" t="s">
        <v>208</v>
      </c>
      <c r="E18" s="5">
        <v>280</v>
      </c>
      <c r="F18" s="5">
        <v>214</v>
      </c>
      <c r="G18" s="5">
        <v>162</v>
      </c>
      <c r="H18" s="5">
        <v>131</v>
      </c>
      <c r="I18" s="6">
        <v>800</v>
      </c>
      <c r="J18" s="6">
        <v>0</v>
      </c>
      <c r="K18" s="7">
        <v>140</v>
      </c>
      <c r="L18" s="8">
        <v>0</v>
      </c>
      <c r="N18" s="4" t="s">
        <v>38</v>
      </c>
      <c r="P18" s="11"/>
      <c r="Q18" s="14"/>
    </row>
    <row r="19" spans="2:17" x14ac:dyDescent="0.3">
      <c r="B19" s="116">
        <v>16</v>
      </c>
      <c r="C19" s="4" t="s">
        <v>30</v>
      </c>
      <c r="D19" s="4" t="s">
        <v>208</v>
      </c>
      <c r="E19" s="5">
        <v>294</v>
      </c>
      <c r="F19" s="5">
        <v>241</v>
      </c>
      <c r="G19" s="5">
        <v>190</v>
      </c>
      <c r="H19" s="5">
        <v>157</v>
      </c>
      <c r="I19" s="6">
        <v>850</v>
      </c>
      <c r="J19" s="6">
        <v>0</v>
      </c>
      <c r="K19" s="7">
        <v>160</v>
      </c>
      <c r="L19" s="8">
        <v>0</v>
      </c>
      <c r="N19" s="4" t="s">
        <v>30</v>
      </c>
      <c r="P19" s="3" t="s">
        <v>330</v>
      </c>
      <c r="Q19" s="11"/>
    </row>
    <row r="20" spans="2:17" x14ac:dyDescent="0.3">
      <c r="B20" s="116">
        <v>17</v>
      </c>
      <c r="C20" s="4" t="s">
        <v>39</v>
      </c>
      <c r="D20" s="4" t="s">
        <v>208</v>
      </c>
      <c r="E20" s="5">
        <v>280</v>
      </c>
      <c r="F20" s="5">
        <v>214</v>
      </c>
      <c r="G20" s="5">
        <v>162</v>
      </c>
      <c r="H20" s="5">
        <v>131</v>
      </c>
      <c r="I20" s="6">
        <v>850</v>
      </c>
      <c r="J20" s="6">
        <v>0</v>
      </c>
      <c r="K20" s="7">
        <v>140</v>
      </c>
      <c r="L20" s="8">
        <v>0</v>
      </c>
      <c r="N20" s="4" t="s">
        <v>39</v>
      </c>
      <c r="P20" s="104" t="s">
        <v>333</v>
      </c>
      <c r="Q20" s="14"/>
    </row>
    <row r="21" spans="2:17" x14ac:dyDescent="0.3">
      <c r="B21" s="116">
        <v>18</v>
      </c>
      <c r="C21" s="4" t="s">
        <v>50</v>
      </c>
      <c r="D21" s="4" t="s">
        <v>208</v>
      </c>
      <c r="E21" s="5">
        <v>88</v>
      </c>
      <c r="F21" s="5">
        <v>74</v>
      </c>
      <c r="G21" s="5">
        <v>55</v>
      </c>
      <c r="H21" s="5">
        <v>39</v>
      </c>
      <c r="I21" s="6">
        <v>750</v>
      </c>
      <c r="J21" s="6">
        <v>0</v>
      </c>
      <c r="K21" s="7">
        <v>120</v>
      </c>
      <c r="L21" s="8">
        <v>0</v>
      </c>
      <c r="N21" s="4" t="s">
        <v>50</v>
      </c>
      <c r="P21" s="104" t="s">
        <v>332</v>
      </c>
      <c r="Q21" s="14"/>
    </row>
    <row r="22" spans="2:17" x14ac:dyDescent="0.3">
      <c r="B22" s="116">
        <v>19</v>
      </c>
      <c r="C22" s="4" t="s">
        <v>31</v>
      </c>
      <c r="D22" s="4" t="s">
        <v>208</v>
      </c>
      <c r="E22" s="5">
        <v>294</v>
      </c>
      <c r="F22" s="5">
        <v>241</v>
      </c>
      <c r="G22" s="5">
        <v>190</v>
      </c>
      <c r="H22" s="5">
        <v>157</v>
      </c>
      <c r="I22" s="6">
        <v>850</v>
      </c>
      <c r="J22" s="6">
        <v>0</v>
      </c>
      <c r="K22" s="7">
        <v>140</v>
      </c>
      <c r="L22" s="8">
        <v>0</v>
      </c>
      <c r="N22" s="4" t="s">
        <v>31</v>
      </c>
    </row>
    <row r="23" spans="2:17" x14ac:dyDescent="0.3">
      <c r="B23" s="116">
        <v>20</v>
      </c>
      <c r="C23" s="4" t="s">
        <v>51</v>
      </c>
      <c r="D23" s="4" t="s">
        <v>208</v>
      </c>
      <c r="E23" s="5">
        <v>88</v>
      </c>
      <c r="F23" s="5">
        <v>74</v>
      </c>
      <c r="G23" s="5">
        <v>55</v>
      </c>
      <c r="H23" s="5">
        <v>39</v>
      </c>
      <c r="I23" s="6">
        <v>750</v>
      </c>
      <c r="J23" s="6">
        <v>0</v>
      </c>
      <c r="K23" s="7">
        <v>100</v>
      </c>
      <c r="L23" s="8">
        <v>0</v>
      </c>
      <c r="N23" s="4" t="s">
        <v>51</v>
      </c>
      <c r="P23" s="3" t="s">
        <v>331</v>
      </c>
    </row>
    <row r="24" spans="2:17" x14ac:dyDescent="0.3">
      <c r="B24" s="116">
        <v>21</v>
      </c>
      <c r="C24" s="4" t="s">
        <v>138</v>
      </c>
      <c r="D24" s="4" t="s">
        <v>208</v>
      </c>
      <c r="E24" s="5">
        <v>294</v>
      </c>
      <c r="F24" s="5">
        <v>241</v>
      </c>
      <c r="G24" s="5">
        <v>190</v>
      </c>
      <c r="H24" s="5">
        <v>157</v>
      </c>
      <c r="I24" s="6">
        <v>800</v>
      </c>
      <c r="J24" s="6">
        <v>0</v>
      </c>
      <c r="K24" s="7">
        <v>140</v>
      </c>
      <c r="L24" s="8">
        <v>0</v>
      </c>
      <c r="N24" s="4" t="s">
        <v>138</v>
      </c>
      <c r="P24" s="105">
        <v>24</v>
      </c>
    </row>
    <row r="25" spans="2:17" x14ac:dyDescent="0.3">
      <c r="B25" s="116">
        <v>22</v>
      </c>
      <c r="C25" s="4" t="s">
        <v>43</v>
      </c>
      <c r="D25" s="4" t="s">
        <v>208</v>
      </c>
      <c r="E25" s="5">
        <v>164</v>
      </c>
      <c r="F25" s="5">
        <v>137</v>
      </c>
      <c r="G25" s="5">
        <v>102</v>
      </c>
      <c r="H25" s="5">
        <v>78</v>
      </c>
      <c r="I25" s="6">
        <v>750</v>
      </c>
      <c r="J25" s="6">
        <v>0</v>
      </c>
      <c r="K25" s="7">
        <v>120</v>
      </c>
      <c r="L25" s="8">
        <v>0</v>
      </c>
      <c r="N25" s="4" t="s">
        <v>43</v>
      </c>
      <c r="P25" s="105">
        <v>36</v>
      </c>
    </row>
    <row r="26" spans="2:17" x14ac:dyDescent="0.3">
      <c r="B26" s="116">
        <v>23</v>
      </c>
      <c r="C26" s="4" t="s">
        <v>32</v>
      </c>
      <c r="D26" s="4" t="s">
        <v>208</v>
      </c>
      <c r="E26" s="5">
        <v>294</v>
      </c>
      <c r="F26" s="5">
        <v>241</v>
      </c>
      <c r="G26" s="5">
        <v>190</v>
      </c>
      <c r="H26" s="5">
        <v>157</v>
      </c>
      <c r="I26" s="6">
        <v>800</v>
      </c>
      <c r="J26" s="6">
        <v>0</v>
      </c>
      <c r="K26" s="7">
        <v>160</v>
      </c>
      <c r="L26" s="8">
        <v>0</v>
      </c>
      <c r="N26" s="4" t="s">
        <v>32</v>
      </c>
    </row>
    <row r="27" spans="2:17" x14ac:dyDescent="0.3">
      <c r="B27" s="116">
        <v>24</v>
      </c>
      <c r="C27" s="4" t="s">
        <v>33</v>
      </c>
      <c r="D27" s="4" t="s">
        <v>208</v>
      </c>
      <c r="E27" s="5">
        <v>294</v>
      </c>
      <c r="F27" s="5">
        <v>241</v>
      </c>
      <c r="G27" s="5">
        <v>190</v>
      </c>
      <c r="H27" s="5">
        <v>157</v>
      </c>
      <c r="I27" s="6">
        <v>850</v>
      </c>
      <c r="J27" s="6">
        <v>0</v>
      </c>
      <c r="K27" s="7">
        <v>140</v>
      </c>
      <c r="L27" s="8">
        <v>0</v>
      </c>
      <c r="N27" s="4" t="s">
        <v>33</v>
      </c>
      <c r="P27" s="3" t="s">
        <v>350</v>
      </c>
    </row>
    <row r="28" spans="2:17" x14ac:dyDescent="0.3">
      <c r="B28" s="116">
        <v>25</v>
      </c>
      <c r="C28" s="4" t="s">
        <v>52</v>
      </c>
      <c r="D28" s="4" t="s">
        <v>208</v>
      </c>
      <c r="E28" s="5">
        <v>88</v>
      </c>
      <c r="F28" s="5">
        <v>74</v>
      </c>
      <c r="G28" s="5">
        <v>55</v>
      </c>
      <c r="H28" s="5">
        <v>39</v>
      </c>
      <c r="I28" s="6">
        <v>750</v>
      </c>
      <c r="J28" s="6">
        <v>0</v>
      </c>
      <c r="K28" s="7">
        <v>140</v>
      </c>
      <c r="L28" s="8">
        <v>0</v>
      </c>
      <c r="N28" s="4" t="s">
        <v>52</v>
      </c>
      <c r="P28" s="4" t="s">
        <v>228</v>
      </c>
    </row>
    <row r="29" spans="2:17" x14ac:dyDescent="0.3">
      <c r="B29" s="116">
        <v>26</v>
      </c>
      <c r="C29" s="4" t="s">
        <v>44</v>
      </c>
      <c r="D29" s="4" t="s">
        <v>208</v>
      </c>
      <c r="E29" s="5">
        <v>164</v>
      </c>
      <c r="F29" s="5">
        <v>137</v>
      </c>
      <c r="G29" s="5">
        <v>102</v>
      </c>
      <c r="H29" s="5">
        <v>78</v>
      </c>
      <c r="I29" s="6">
        <v>800</v>
      </c>
      <c r="J29" s="6">
        <v>0</v>
      </c>
      <c r="K29" s="7">
        <v>120</v>
      </c>
      <c r="L29" s="8">
        <v>0</v>
      </c>
      <c r="N29" s="4" t="s">
        <v>44</v>
      </c>
      <c r="P29" s="4" t="s">
        <v>226</v>
      </c>
    </row>
    <row r="30" spans="2:17" x14ac:dyDescent="0.3">
      <c r="B30" s="116">
        <v>27</v>
      </c>
      <c r="C30" s="4" t="s">
        <v>53</v>
      </c>
      <c r="D30" s="4" t="s">
        <v>208</v>
      </c>
      <c r="E30" s="5">
        <v>88</v>
      </c>
      <c r="F30" s="5">
        <v>74</v>
      </c>
      <c r="G30" s="5">
        <v>55</v>
      </c>
      <c r="H30" s="5">
        <v>39</v>
      </c>
      <c r="I30" s="6">
        <v>750</v>
      </c>
      <c r="J30" s="6">
        <v>0</v>
      </c>
      <c r="K30" s="7">
        <v>140</v>
      </c>
      <c r="L30" s="8">
        <v>0</v>
      </c>
      <c r="N30" s="4" t="s">
        <v>53</v>
      </c>
    </row>
    <row r="31" spans="2:17" x14ac:dyDescent="0.3">
      <c r="B31" s="116">
        <v>28</v>
      </c>
      <c r="C31" s="4" t="s">
        <v>157</v>
      </c>
      <c r="D31" s="4" t="s">
        <v>208</v>
      </c>
      <c r="E31" s="5">
        <v>88</v>
      </c>
      <c r="F31" s="5">
        <v>74</v>
      </c>
      <c r="G31" s="5">
        <v>55</v>
      </c>
      <c r="H31" s="5">
        <v>39</v>
      </c>
      <c r="I31" s="6">
        <v>750</v>
      </c>
      <c r="J31" s="6">
        <v>0</v>
      </c>
      <c r="K31" s="7">
        <v>120</v>
      </c>
      <c r="L31" s="8">
        <v>0</v>
      </c>
      <c r="N31" s="4" t="s">
        <v>157</v>
      </c>
    </row>
    <row r="32" spans="2:17" x14ac:dyDescent="0.3">
      <c r="B32" s="116">
        <v>29</v>
      </c>
      <c r="C32" s="4" t="s">
        <v>45</v>
      </c>
      <c r="D32" s="4" t="s">
        <v>208</v>
      </c>
      <c r="E32" s="5">
        <v>164</v>
      </c>
      <c r="F32" s="5">
        <v>137</v>
      </c>
      <c r="G32" s="5">
        <v>102</v>
      </c>
      <c r="H32" s="5">
        <v>78</v>
      </c>
      <c r="I32" s="6">
        <v>800</v>
      </c>
      <c r="J32" s="6">
        <v>0</v>
      </c>
      <c r="K32" s="7">
        <v>100</v>
      </c>
      <c r="L32" s="8">
        <v>0</v>
      </c>
      <c r="N32" s="4" t="s">
        <v>45</v>
      </c>
    </row>
    <row r="33" spans="2:14" x14ac:dyDescent="0.3">
      <c r="B33" s="116">
        <v>30</v>
      </c>
      <c r="C33" s="4" t="s">
        <v>46</v>
      </c>
      <c r="D33" s="4" t="s">
        <v>208</v>
      </c>
      <c r="E33" s="5">
        <v>164</v>
      </c>
      <c r="F33" s="5">
        <v>137</v>
      </c>
      <c r="G33" s="5">
        <v>102</v>
      </c>
      <c r="H33" s="5">
        <v>78</v>
      </c>
      <c r="I33" s="6">
        <v>800</v>
      </c>
      <c r="J33" s="6">
        <v>0</v>
      </c>
      <c r="K33" s="7">
        <v>120</v>
      </c>
      <c r="L33" s="8">
        <v>0</v>
      </c>
      <c r="N33" s="4" t="s">
        <v>46</v>
      </c>
    </row>
    <row r="34" spans="2:14" x14ac:dyDescent="0.3">
      <c r="B34" s="116">
        <v>31</v>
      </c>
      <c r="C34" s="4" t="s">
        <v>34</v>
      </c>
      <c r="D34" s="4" t="s">
        <v>208</v>
      </c>
      <c r="E34" s="5">
        <v>294</v>
      </c>
      <c r="F34" s="5">
        <v>241</v>
      </c>
      <c r="G34" s="5">
        <v>190</v>
      </c>
      <c r="H34" s="5">
        <v>157</v>
      </c>
      <c r="I34" s="6">
        <v>850</v>
      </c>
      <c r="J34" s="6">
        <v>0</v>
      </c>
      <c r="K34" s="7">
        <v>160</v>
      </c>
      <c r="L34" s="8">
        <v>0</v>
      </c>
      <c r="N34" s="4" t="s">
        <v>34</v>
      </c>
    </row>
    <row r="35" spans="2:14" x14ac:dyDescent="0.3">
      <c r="B35" s="116">
        <v>32</v>
      </c>
      <c r="C35" s="4" t="s">
        <v>54</v>
      </c>
      <c r="D35" s="4" t="s">
        <v>208</v>
      </c>
      <c r="E35" s="5">
        <v>88</v>
      </c>
      <c r="F35" s="5">
        <v>74</v>
      </c>
      <c r="G35" s="5">
        <v>55</v>
      </c>
      <c r="H35" s="5">
        <v>39</v>
      </c>
      <c r="I35" s="6">
        <v>800</v>
      </c>
      <c r="J35" s="6">
        <v>0</v>
      </c>
      <c r="K35" s="7">
        <v>140</v>
      </c>
      <c r="L35" s="8">
        <v>0</v>
      </c>
      <c r="N35" s="4" t="s">
        <v>54</v>
      </c>
    </row>
    <row r="36" spans="2:14" x14ac:dyDescent="0.3">
      <c r="B36" s="116">
        <v>33</v>
      </c>
      <c r="C36" s="4" t="s">
        <v>40</v>
      </c>
      <c r="D36" s="4" t="s">
        <v>208</v>
      </c>
      <c r="E36" s="5">
        <v>280</v>
      </c>
      <c r="F36" s="5">
        <v>214</v>
      </c>
      <c r="G36" s="5">
        <v>162</v>
      </c>
      <c r="H36" s="5">
        <v>131</v>
      </c>
      <c r="I36" s="6">
        <v>850</v>
      </c>
      <c r="J36" s="6">
        <v>0</v>
      </c>
      <c r="K36" s="7">
        <v>160</v>
      </c>
      <c r="L36" s="8">
        <v>0</v>
      </c>
      <c r="N36" s="4" t="s">
        <v>40</v>
      </c>
    </row>
    <row r="37" spans="2:14" x14ac:dyDescent="0.3">
      <c r="B37" s="116">
        <v>34</v>
      </c>
      <c r="C37" s="4" t="s">
        <v>8</v>
      </c>
      <c r="D37" s="4" t="s">
        <v>209</v>
      </c>
      <c r="E37" s="5">
        <v>77</v>
      </c>
      <c r="F37" s="5">
        <v>57</v>
      </c>
      <c r="G37" s="5">
        <v>40</v>
      </c>
      <c r="H37" s="5">
        <v>32</v>
      </c>
      <c r="I37" s="6">
        <v>0</v>
      </c>
      <c r="J37" s="6">
        <v>0</v>
      </c>
      <c r="K37" s="7">
        <v>0</v>
      </c>
      <c r="L37" s="8">
        <v>0</v>
      </c>
      <c r="N37" s="4" t="s">
        <v>56</v>
      </c>
    </row>
    <row r="38" spans="2:14" x14ac:dyDescent="0.3">
      <c r="B38" s="116">
        <v>35</v>
      </c>
      <c r="C38" s="4" t="s">
        <v>56</v>
      </c>
      <c r="D38" s="4" t="s">
        <v>209</v>
      </c>
      <c r="E38" s="5">
        <v>108</v>
      </c>
      <c r="F38" s="5">
        <v>80</v>
      </c>
      <c r="G38" s="5">
        <v>57</v>
      </c>
      <c r="H38" s="5">
        <v>45</v>
      </c>
      <c r="I38" s="6">
        <v>750</v>
      </c>
      <c r="J38" s="6">
        <v>650</v>
      </c>
      <c r="K38" s="7">
        <v>100</v>
      </c>
      <c r="L38" s="8">
        <v>160</v>
      </c>
      <c r="N38" s="4" t="s">
        <v>57</v>
      </c>
    </row>
    <row r="39" spans="2:14" x14ac:dyDescent="0.3">
      <c r="B39" s="116">
        <v>36</v>
      </c>
      <c r="C39" s="4" t="s">
        <v>57</v>
      </c>
      <c r="D39" s="4" t="s">
        <v>209</v>
      </c>
      <c r="E39" s="5">
        <v>47</v>
      </c>
      <c r="F39" s="5">
        <v>33</v>
      </c>
      <c r="G39" s="5">
        <v>22</v>
      </c>
      <c r="H39" s="5">
        <v>17</v>
      </c>
      <c r="I39" s="6">
        <v>750</v>
      </c>
      <c r="J39" s="6">
        <v>650</v>
      </c>
      <c r="K39" s="7">
        <v>100</v>
      </c>
      <c r="L39" s="8">
        <v>160</v>
      </c>
      <c r="N39" s="4" t="s">
        <v>59</v>
      </c>
    </row>
    <row r="40" spans="2:14" x14ac:dyDescent="0.3">
      <c r="B40" s="116">
        <v>37</v>
      </c>
      <c r="C40" s="4" t="s">
        <v>257</v>
      </c>
      <c r="D40" s="4" t="s">
        <v>209</v>
      </c>
      <c r="E40" s="5">
        <v>108</v>
      </c>
      <c r="F40" s="5">
        <v>80</v>
      </c>
      <c r="G40" s="5">
        <v>57</v>
      </c>
      <c r="H40" s="5">
        <v>45</v>
      </c>
      <c r="I40" s="6">
        <v>0</v>
      </c>
      <c r="J40" s="6">
        <v>0</v>
      </c>
      <c r="K40" s="7">
        <v>0</v>
      </c>
      <c r="L40" s="8">
        <v>0</v>
      </c>
      <c r="N40" s="4" t="s">
        <v>60</v>
      </c>
    </row>
    <row r="41" spans="2:14" x14ac:dyDescent="0.3">
      <c r="B41" s="116">
        <v>38</v>
      </c>
      <c r="C41" s="4" t="s">
        <v>258</v>
      </c>
      <c r="D41" s="4" t="s">
        <v>209</v>
      </c>
      <c r="E41" s="5">
        <v>108</v>
      </c>
      <c r="F41" s="5">
        <v>80</v>
      </c>
      <c r="G41" s="5">
        <v>57</v>
      </c>
      <c r="H41" s="5">
        <v>45</v>
      </c>
      <c r="I41" s="6">
        <v>0</v>
      </c>
      <c r="J41" s="6">
        <v>0</v>
      </c>
      <c r="K41" s="7">
        <v>0</v>
      </c>
      <c r="L41" s="8">
        <v>0</v>
      </c>
      <c r="N41" s="4" t="s">
        <v>63</v>
      </c>
    </row>
    <row r="42" spans="2:14" x14ac:dyDescent="0.3">
      <c r="B42" s="116">
        <v>39</v>
      </c>
      <c r="C42" s="4" t="s">
        <v>58</v>
      </c>
      <c r="D42" s="4" t="s">
        <v>209</v>
      </c>
      <c r="E42" s="5">
        <v>108</v>
      </c>
      <c r="F42" s="5">
        <v>80</v>
      </c>
      <c r="G42" s="5">
        <v>57</v>
      </c>
      <c r="H42" s="5">
        <v>45</v>
      </c>
      <c r="I42" s="6">
        <v>0</v>
      </c>
      <c r="J42" s="6">
        <v>0</v>
      </c>
      <c r="K42" s="7">
        <v>0</v>
      </c>
      <c r="L42" s="8">
        <v>0</v>
      </c>
      <c r="N42" s="4" t="s">
        <v>66</v>
      </c>
    </row>
    <row r="43" spans="2:14" x14ac:dyDescent="0.3">
      <c r="B43" s="116">
        <v>40</v>
      </c>
      <c r="C43" s="4" t="s">
        <v>59</v>
      </c>
      <c r="D43" s="4" t="s">
        <v>209</v>
      </c>
      <c r="E43" s="5">
        <v>47</v>
      </c>
      <c r="F43" s="5">
        <v>33</v>
      </c>
      <c r="G43" s="5">
        <v>22</v>
      </c>
      <c r="H43" s="5">
        <v>17</v>
      </c>
      <c r="I43" s="6">
        <v>750</v>
      </c>
      <c r="J43" s="6">
        <v>650</v>
      </c>
      <c r="K43" s="7">
        <v>100</v>
      </c>
      <c r="L43" s="8">
        <v>160</v>
      </c>
      <c r="N43" s="4" t="s">
        <v>74</v>
      </c>
    </row>
    <row r="44" spans="2:14" x14ac:dyDescent="0.3">
      <c r="B44" s="116">
        <v>41</v>
      </c>
      <c r="C44" s="4" t="s">
        <v>60</v>
      </c>
      <c r="D44" s="4" t="s">
        <v>209</v>
      </c>
      <c r="E44" s="5">
        <v>77</v>
      </c>
      <c r="F44" s="5">
        <v>57</v>
      </c>
      <c r="G44" s="5">
        <v>40</v>
      </c>
      <c r="H44" s="5">
        <v>32</v>
      </c>
      <c r="I44" s="6">
        <v>750</v>
      </c>
      <c r="J44" s="6">
        <v>650</v>
      </c>
      <c r="K44" s="7">
        <v>100</v>
      </c>
      <c r="L44" s="8">
        <v>160</v>
      </c>
      <c r="N44" s="4" t="s">
        <v>75</v>
      </c>
    </row>
    <row r="45" spans="2:14" x14ac:dyDescent="0.3">
      <c r="B45" s="116">
        <v>42</v>
      </c>
      <c r="C45" s="4" t="s">
        <v>259</v>
      </c>
      <c r="D45" s="4" t="s">
        <v>209</v>
      </c>
      <c r="E45" s="5">
        <v>77</v>
      </c>
      <c r="F45" s="5">
        <v>57</v>
      </c>
      <c r="G45" s="5">
        <v>40</v>
      </c>
      <c r="H45" s="5">
        <v>32</v>
      </c>
      <c r="I45" s="6">
        <v>0</v>
      </c>
      <c r="J45" s="6">
        <v>0</v>
      </c>
      <c r="K45" s="7">
        <v>0</v>
      </c>
      <c r="L45" s="8">
        <v>0</v>
      </c>
      <c r="N45" s="4" t="s">
        <v>55</v>
      </c>
    </row>
    <row r="46" spans="2:14" x14ac:dyDescent="0.3">
      <c r="B46" s="116">
        <v>43</v>
      </c>
      <c r="C46" s="4" t="s">
        <v>61</v>
      </c>
      <c r="D46" s="4" t="s">
        <v>209</v>
      </c>
      <c r="E46" s="5">
        <v>47</v>
      </c>
      <c r="F46" s="5">
        <v>33</v>
      </c>
      <c r="G46" s="5">
        <v>22</v>
      </c>
      <c r="H46" s="5">
        <v>17</v>
      </c>
      <c r="I46" s="6">
        <v>0</v>
      </c>
      <c r="J46" s="6">
        <v>0</v>
      </c>
      <c r="K46" s="7">
        <v>0</v>
      </c>
      <c r="L46" s="8">
        <v>0</v>
      </c>
      <c r="N46" s="4" t="s">
        <v>82</v>
      </c>
    </row>
    <row r="47" spans="2:14" x14ac:dyDescent="0.3">
      <c r="B47" s="116">
        <v>44</v>
      </c>
      <c r="C47" s="4" t="s">
        <v>260</v>
      </c>
      <c r="D47" s="4" t="s">
        <v>209</v>
      </c>
      <c r="E47" s="5">
        <v>108</v>
      </c>
      <c r="F47" s="5">
        <v>80</v>
      </c>
      <c r="G47" s="5">
        <v>57</v>
      </c>
      <c r="H47" s="5">
        <v>45</v>
      </c>
      <c r="I47" s="6">
        <v>0</v>
      </c>
      <c r="J47" s="6">
        <v>0</v>
      </c>
      <c r="K47" s="7">
        <v>0</v>
      </c>
      <c r="L47" s="8">
        <v>0</v>
      </c>
      <c r="N47" s="4" t="s">
        <v>174</v>
      </c>
    </row>
    <row r="48" spans="2:14" x14ac:dyDescent="0.3">
      <c r="B48" s="116">
        <v>45</v>
      </c>
      <c r="C48" s="4" t="s">
        <v>63</v>
      </c>
      <c r="D48" s="4" t="s">
        <v>209</v>
      </c>
      <c r="E48" s="5">
        <v>47</v>
      </c>
      <c r="F48" s="5">
        <v>33</v>
      </c>
      <c r="G48" s="5">
        <v>22</v>
      </c>
      <c r="H48" s="5">
        <v>17</v>
      </c>
      <c r="I48" s="6">
        <v>750</v>
      </c>
      <c r="J48" s="6">
        <v>650</v>
      </c>
      <c r="K48" s="7">
        <v>100</v>
      </c>
      <c r="L48" s="8">
        <v>160</v>
      </c>
      <c r="N48" s="4" t="s">
        <v>85</v>
      </c>
    </row>
    <row r="49" spans="2:14" x14ac:dyDescent="0.3">
      <c r="B49" s="116">
        <v>46</v>
      </c>
      <c r="C49" s="4" t="s">
        <v>261</v>
      </c>
      <c r="D49" s="4" t="s">
        <v>209</v>
      </c>
      <c r="E49" s="5">
        <v>47</v>
      </c>
      <c r="F49" s="5">
        <v>33</v>
      </c>
      <c r="G49" s="5">
        <v>22</v>
      </c>
      <c r="H49" s="5">
        <v>17</v>
      </c>
      <c r="I49" s="6">
        <v>0</v>
      </c>
      <c r="J49" s="6">
        <v>0</v>
      </c>
      <c r="K49" s="7">
        <v>0</v>
      </c>
      <c r="L49" s="8">
        <v>0</v>
      </c>
      <c r="N49" s="4" t="s">
        <v>86</v>
      </c>
    </row>
    <row r="50" spans="2:14" x14ac:dyDescent="0.3">
      <c r="B50" s="116">
        <v>47</v>
      </c>
      <c r="C50" s="4" t="s">
        <v>262</v>
      </c>
      <c r="D50" s="4" t="s">
        <v>209</v>
      </c>
      <c r="E50" s="5">
        <v>47</v>
      </c>
      <c r="F50" s="5">
        <v>33</v>
      </c>
      <c r="G50" s="5">
        <v>22</v>
      </c>
      <c r="H50" s="5">
        <v>17</v>
      </c>
      <c r="I50" s="6">
        <v>0</v>
      </c>
      <c r="J50" s="6">
        <v>0</v>
      </c>
      <c r="K50" s="7">
        <v>0</v>
      </c>
      <c r="L50" s="8">
        <v>0</v>
      </c>
      <c r="N50" s="4" t="s">
        <v>90</v>
      </c>
    </row>
    <row r="51" spans="2:14" x14ac:dyDescent="0.3">
      <c r="B51" s="116">
        <v>48</v>
      </c>
      <c r="C51" s="4" t="s">
        <v>64</v>
      </c>
      <c r="D51" s="4" t="s">
        <v>209</v>
      </c>
      <c r="E51" s="5">
        <v>47</v>
      </c>
      <c r="F51" s="5">
        <v>33</v>
      </c>
      <c r="G51" s="5">
        <v>22</v>
      </c>
      <c r="H51" s="5">
        <v>17</v>
      </c>
      <c r="I51" s="6">
        <v>0</v>
      </c>
      <c r="J51" s="6">
        <v>0</v>
      </c>
      <c r="K51" s="7">
        <v>0</v>
      </c>
      <c r="L51" s="8">
        <v>0</v>
      </c>
      <c r="N51" s="4" t="s">
        <v>92</v>
      </c>
    </row>
    <row r="52" spans="2:14" x14ac:dyDescent="0.3">
      <c r="B52" s="116">
        <v>49</v>
      </c>
      <c r="C52" s="4" t="s">
        <v>65</v>
      </c>
      <c r="D52" s="4" t="s">
        <v>209</v>
      </c>
      <c r="E52" s="5">
        <v>77</v>
      </c>
      <c r="F52" s="5">
        <v>57</v>
      </c>
      <c r="G52" s="5">
        <v>40</v>
      </c>
      <c r="H52" s="5">
        <v>32</v>
      </c>
      <c r="I52" s="6">
        <v>0</v>
      </c>
      <c r="J52" s="6">
        <v>0</v>
      </c>
      <c r="K52" s="7">
        <v>0</v>
      </c>
      <c r="L52" s="8">
        <v>0</v>
      </c>
      <c r="N52" s="4" t="s">
        <v>93</v>
      </c>
    </row>
    <row r="53" spans="2:14" x14ac:dyDescent="0.3">
      <c r="B53" s="116">
        <v>50</v>
      </c>
      <c r="C53" s="4" t="s">
        <v>66</v>
      </c>
      <c r="D53" s="4" t="s">
        <v>209</v>
      </c>
      <c r="E53" s="5">
        <v>108</v>
      </c>
      <c r="F53" s="5">
        <v>80</v>
      </c>
      <c r="G53" s="5">
        <v>57</v>
      </c>
      <c r="H53" s="5">
        <v>45</v>
      </c>
      <c r="I53" s="6">
        <v>750</v>
      </c>
      <c r="J53" s="6">
        <v>650</v>
      </c>
      <c r="K53" s="7">
        <v>100</v>
      </c>
      <c r="L53" s="8">
        <v>160</v>
      </c>
      <c r="N53" s="4" t="s">
        <v>173</v>
      </c>
    </row>
    <row r="54" spans="2:14" x14ac:dyDescent="0.3">
      <c r="B54" s="116">
        <v>51</v>
      </c>
      <c r="C54" s="4" t="s">
        <v>263</v>
      </c>
      <c r="D54" s="4" t="s">
        <v>209</v>
      </c>
      <c r="E54" s="5">
        <v>47</v>
      </c>
      <c r="F54" s="5">
        <v>33</v>
      </c>
      <c r="G54" s="5">
        <v>22</v>
      </c>
      <c r="H54" s="5">
        <v>17</v>
      </c>
      <c r="I54" s="6">
        <v>0</v>
      </c>
      <c r="J54" s="6">
        <v>0</v>
      </c>
      <c r="K54" s="7">
        <v>0</v>
      </c>
      <c r="L54" s="8">
        <v>0</v>
      </c>
      <c r="N54" s="4" t="s">
        <v>100</v>
      </c>
    </row>
    <row r="55" spans="2:14" x14ac:dyDescent="0.3">
      <c r="B55" s="116">
        <v>52</v>
      </c>
      <c r="C55" s="4" t="s">
        <v>67</v>
      </c>
      <c r="D55" s="4" t="s">
        <v>209</v>
      </c>
      <c r="E55" s="5">
        <v>108</v>
      </c>
      <c r="F55" s="5">
        <v>80</v>
      </c>
      <c r="G55" s="5">
        <v>57</v>
      </c>
      <c r="H55" s="5">
        <v>45</v>
      </c>
      <c r="I55" s="6">
        <v>0</v>
      </c>
      <c r="J55" s="6">
        <v>0</v>
      </c>
      <c r="K55" s="7">
        <v>0</v>
      </c>
      <c r="L55" s="8">
        <v>0</v>
      </c>
      <c r="N55" s="4" t="s">
        <v>102</v>
      </c>
    </row>
    <row r="56" spans="2:14" x14ac:dyDescent="0.3">
      <c r="B56" s="116">
        <v>53</v>
      </c>
      <c r="C56" s="4" t="s">
        <v>264</v>
      </c>
      <c r="D56" s="4" t="s">
        <v>209</v>
      </c>
      <c r="E56" s="5">
        <v>77</v>
      </c>
      <c r="F56" s="5">
        <v>57</v>
      </c>
      <c r="G56" s="5">
        <v>40</v>
      </c>
      <c r="H56" s="5">
        <v>32</v>
      </c>
      <c r="I56" s="6">
        <v>0</v>
      </c>
      <c r="J56" s="6">
        <v>0</v>
      </c>
      <c r="K56" s="7">
        <v>0</v>
      </c>
      <c r="L56" s="8">
        <v>0</v>
      </c>
      <c r="N56" s="4" t="s">
        <v>105</v>
      </c>
    </row>
    <row r="57" spans="2:14" x14ac:dyDescent="0.3">
      <c r="B57" s="116">
        <v>54</v>
      </c>
      <c r="C57" s="4" t="s">
        <v>265</v>
      </c>
      <c r="D57" s="4" t="s">
        <v>209</v>
      </c>
      <c r="E57" s="5">
        <v>47</v>
      </c>
      <c r="F57" s="5">
        <v>33</v>
      </c>
      <c r="G57" s="5">
        <v>22</v>
      </c>
      <c r="H57" s="5">
        <v>17</v>
      </c>
      <c r="I57" s="6">
        <v>0</v>
      </c>
      <c r="J57" s="6">
        <v>0</v>
      </c>
      <c r="K57" s="7">
        <v>0</v>
      </c>
      <c r="L57" s="8">
        <v>0</v>
      </c>
      <c r="N57" s="4" t="s">
        <v>186</v>
      </c>
    </row>
    <row r="58" spans="2:14" x14ac:dyDescent="0.3">
      <c r="B58" s="116">
        <v>55</v>
      </c>
      <c r="C58" s="4" t="s">
        <v>68</v>
      </c>
      <c r="D58" s="4" t="s">
        <v>209</v>
      </c>
      <c r="E58" s="5">
        <v>47</v>
      </c>
      <c r="F58" s="5">
        <v>33</v>
      </c>
      <c r="G58" s="5">
        <v>22</v>
      </c>
      <c r="H58" s="5">
        <v>17</v>
      </c>
      <c r="I58" s="6">
        <v>0</v>
      </c>
      <c r="J58" s="6">
        <v>0</v>
      </c>
      <c r="K58" s="7">
        <v>0</v>
      </c>
      <c r="L58" s="8">
        <v>0</v>
      </c>
    </row>
    <row r="59" spans="2:14" x14ac:dyDescent="0.3">
      <c r="B59" s="116">
        <v>56</v>
      </c>
      <c r="C59" s="4" t="s">
        <v>266</v>
      </c>
      <c r="D59" s="4" t="s">
        <v>209</v>
      </c>
      <c r="E59" s="5">
        <v>77</v>
      </c>
      <c r="F59" s="5">
        <v>57</v>
      </c>
      <c r="G59" s="5">
        <v>40</v>
      </c>
      <c r="H59" s="5">
        <v>32</v>
      </c>
      <c r="I59" s="6">
        <v>0</v>
      </c>
      <c r="J59" s="6">
        <v>0</v>
      </c>
      <c r="K59" s="7">
        <v>0</v>
      </c>
      <c r="L59" s="8">
        <v>0</v>
      </c>
    </row>
    <row r="60" spans="2:14" x14ac:dyDescent="0.3">
      <c r="B60" s="116">
        <v>57</v>
      </c>
      <c r="C60" s="4" t="s">
        <v>267</v>
      </c>
      <c r="D60" s="4" t="s">
        <v>209</v>
      </c>
      <c r="E60" s="5">
        <v>47</v>
      </c>
      <c r="F60" s="5">
        <v>33</v>
      </c>
      <c r="G60" s="5">
        <v>22</v>
      </c>
      <c r="H60" s="5">
        <v>17</v>
      </c>
      <c r="I60" s="6">
        <v>0</v>
      </c>
      <c r="J60" s="6">
        <v>0</v>
      </c>
      <c r="K60" s="7">
        <v>0</v>
      </c>
      <c r="L60" s="8">
        <v>0</v>
      </c>
    </row>
    <row r="61" spans="2:14" x14ac:dyDescent="0.3">
      <c r="B61" s="116">
        <v>58</v>
      </c>
      <c r="C61" s="4" t="s">
        <v>268</v>
      </c>
      <c r="D61" s="4" t="s">
        <v>209</v>
      </c>
      <c r="E61" s="5">
        <v>47</v>
      </c>
      <c r="F61" s="5">
        <v>33</v>
      </c>
      <c r="G61" s="5">
        <v>22</v>
      </c>
      <c r="H61" s="5">
        <v>17</v>
      </c>
      <c r="I61" s="6">
        <v>0</v>
      </c>
      <c r="J61" s="6">
        <v>0</v>
      </c>
      <c r="K61" s="7">
        <v>0</v>
      </c>
      <c r="L61" s="8">
        <v>0</v>
      </c>
    </row>
    <row r="62" spans="2:14" x14ac:dyDescent="0.3">
      <c r="B62" s="116">
        <v>59</v>
      </c>
      <c r="C62" s="4" t="s">
        <v>269</v>
      </c>
      <c r="D62" s="4" t="s">
        <v>209</v>
      </c>
      <c r="E62" s="5">
        <v>47</v>
      </c>
      <c r="F62" s="5">
        <v>33</v>
      </c>
      <c r="G62" s="5">
        <v>22</v>
      </c>
      <c r="H62" s="5">
        <v>17</v>
      </c>
      <c r="I62" s="6">
        <v>0</v>
      </c>
      <c r="J62" s="6">
        <v>0</v>
      </c>
      <c r="K62" s="7">
        <v>0</v>
      </c>
      <c r="L62" s="8">
        <v>0</v>
      </c>
    </row>
    <row r="63" spans="2:14" x14ac:dyDescent="0.3">
      <c r="B63" s="116">
        <v>60</v>
      </c>
      <c r="C63" s="4" t="s">
        <v>62</v>
      </c>
      <c r="D63" s="4" t="s">
        <v>209</v>
      </c>
      <c r="E63" s="5">
        <v>108</v>
      </c>
      <c r="F63" s="5">
        <v>80</v>
      </c>
      <c r="G63" s="5">
        <v>57</v>
      </c>
      <c r="H63" s="5">
        <v>45</v>
      </c>
      <c r="I63" s="6">
        <v>0</v>
      </c>
      <c r="J63" s="6">
        <v>0</v>
      </c>
      <c r="K63" s="7">
        <v>0</v>
      </c>
      <c r="L63" s="8">
        <v>0</v>
      </c>
    </row>
    <row r="64" spans="2:14" x14ac:dyDescent="0.3">
      <c r="B64" s="116">
        <v>61</v>
      </c>
      <c r="C64" s="4" t="s">
        <v>69</v>
      </c>
      <c r="D64" s="4" t="s">
        <v>209</v>
      </c>
      <c r="E64" s="5">
        <v>77</v>
      </c>
      <c r="F64" s="5">
        <v>57</v>
      </c>
      <c r="G64" s="5">
        <v>40</v>
      </c>
      <c r="H64" s="5">
        <v>32</v>
      </c>
      <c r="I64" s="6">
        <v>0</v>
      </c>
      <c r="J64" s="6">
        <v>0</v>
      </c>
      <c r="K64" s="7">
        <v>0</v>
      </c>
      <c r="L64" s="8">
        <v>0</v>
      </c>
    </row>
    <row r="65" spans="2:12" x14ac:dyDescent="0.3">
      <c r="B65" s="116">
        <v>62</v>
      </c>
      <c r="C65" s="4" t="s">
        <v>70</v>
      </c>
      <c r="D65" s="4" t="s">
        <v>209</v>
      </c>
      <c r="E65" s="5">
        <v>108</v>
      </c>
      <c r="F65" s="5">
        <v>80</v>
      </c>
      <c r="G65" s="5">
        <v>57</v>
      </c>
      <c r="H65" s="5">
        <v>45</v>
      </c>
      <c r="I65" s="6">
        <v>0</v>
      </c>
      <c r="J65" s="6">
        <v>0</v>
      </c>
      <c r="K65" s="7">
        <v>0</v>
      </c>
      <c r="L65" s="8">
        <v>0</v>
      </c>
    </row>
    <row r="66" spans="2:12" x14ac:dyDescent="0.3">
      <c r="B66" s="116">
        <v>63</v>
      </c>
      <c r="C66" s="4" t="s">
        <v>270</v>
      </c>
      <c r="D66" s="4" t="s">
        <v>209</v>
      </c>
      <c r="E66" s="5">
        <v>108</v>
      </c>
      <c r="F66" s="5">
        <v>80</v>
      </c>
      <c r="G66" s="5">
        <v>57</v>
      </c>
      <c r="H66" s="5">
        <v>45</v>
      </c>
      <c r="I66" s="6">
        <v>0</v>
      </c>
      <c r="J66" s="6">
        <v>0</v>
      </c>
      <c r="K66" s="7">
        <v>0</v>
      </c>
      <c r="L66" s="8">
        <v>0</v>
      </c>
    </row>
    <row r="67" spans="2:12" x14ac:dyDescent="0.3">
      <c r="B67" s="116">
        <v>64</v>
      </c>
      <c r="C67" s="4" t="s">
        <v>271</v>
      </c>
      <c r="D67" s="4" t="s">
        <v>209</v>
      </c>
      <c r="E67" s="5">
        <v>77</v>
      </c>
      <c r="F67" s="5">
        <v>57</v>
      </c>
      <c r="G67" s="5">
        <v>40</v>
      </c>
      <c r="H67" s="5">
        <v>32</v>
      </c>
      <c r="I67" s="6">
        <v>0</v>
      </c>
      <c r="J67" s="6">
        <v>0</v>
      </c>
      <c r="K67" s="7">
        <v>0</v>
      </c>
      <c r="L67" s="8">
        <v>0</v>
      </c>
    </row>
    <row r="68" spans="2:12" x14ac:dyDescent="0.3">
      <c r="B68" s="116">
        <v>65</v>
      </c>
      <c r="C68" s="4" t="s">
        <v>378</v>
      </c>
      <c r="D68" s="4" t="s">
        <v>209</v>
      </c>
      <c r="E68" s="5">
        <v>47</v>
      </c>
      <c r="F68" s="5">
        <v>33</v>
      </c>
      <c r="G68" s="5">
        <v>22</v>
      </c>
      <c r="H68" s="5">
        <v>17</v>
      </c>
      <c r="I68" s="6">
        <v>0</v>
      </c>
      <c r="J68" s="6">
        <v>0</v>
      </c>
      <c r="K68" s="7">
        <v>0</v>
      </c>
      <c r="L68" s="8">
        <v>0</v>
      </c>
    </row>
    <row r="69" spans="2:12" x14ac:dyDescent="0.3">
      <c r="B69" s="116">
        <v>66</v>
      </c>
      <c r="C69" s="4" t="s">
        <v>272</v>
      </c>
      <c r="D69" s="4" t="s">
        <v>209</v>
      </c>
      <c r="E69" s="5">
        <v>108</v>
      </c>
      <c r="F69" s="5">
        <v>80</v>
      </c>
      <c r="G69" s="5">
        <v>57</v>
      </c>
      <c r="H69" s="5">
        <v>45</v>
      </c>
      <c r="I69" s="6">
        <v>0</v>
      </c>
      <c r="J69" s="6">
        <v>0</v>
      </c>
      <c r="K69" s="7">
        <v>0</v>
      </c>
      <c r="L69" s="8">
        <v>0</v>
      </c>
    </row>
    <row r="70" spans="2:12" x14ac:dyDescent="0.3">
      <c r="B70" s="116">
        <v>67</v>
      </c>
      <c r="C70" s="4" t="s">
        <v>71</v>
      </c>
      <c r="D70" s="4" t="s">
        <v>209</v>
      </c>
      <c r="E70" s="5">
        <v>77</v>
      </c>
      <c r="F70" s="5">
        <v>57</v>
      </c>
      <c r="G70" s="5">
        <v>40</v>
      </c>
      <c r="H70" s="5">
        <v>32</v>
      </c>
      <c r="I70" s="6">
        <v>0</v>
      </c>
      <c r="J70" s="6">
        <v>0</v>
      </c>
      <c r="K70" s="7">
        <v>0</v>
      </c>
      <c r="L70" s="8">
        <v>0</v>
      </c>
    </row>
    <row r="71" spans="2:12" x14ac:dyDescent="0.3">
      <c r="B71" s="116">
        <v>68</v>
      </c>
      <c r="C71" s="4" t="s">
        <v>72</v>
      </c>
      <c r="D71" s="4" t="s">
        <v>209</v>
      </c>
      <c r="E71" s="5">
        <v>47</v>
      </c>
      <c r="F71" s="5">
        <v>33</v>
      </c>
      <c r="G71" s="5">
        <v>22</v>
      </c>
      <c r="H71" s="5">
        <v>17</v>
      </c>
      <c r="I71" s="6">
        <v>0</v>
      </c>
      <c r="J71" s="6">
        <v>0</v>
      </c>
      <c r="K71" s="7">
        <v>0</v>
      </c>
      <c r="L71" s="8">
        <v>0</v>
      </c>
    </row>
    <row r="72" spans="2:12" x14ac:dyDescent="0.3">
      <c r="B72" s="116">
        <v>69</v>
      </c>
      <c r="C72" s="4" t="s">
        <v>273</v>
      </c>
      <c r="D72" s="4" t="s">
        <v>209</v>
      </c>
      <c r="E72" s="5">
        <v>77</v>
      </c>
      <c r="F72" s="5">
        <v>57</v>
      </c>
      <c r="G72" s="5">
        <v>40</v>
      </c>
      <c r="H72" s="5">
        <v>32</v>
      </c>
      <c r="I72" s="6">
        <v>0</v>
      </c>
      <c r="J72" s="6">
        <v>0</v>
      </c>
      <c r="K72" s="7">
        <v>0</v>
      </c>
      <c r="L72" s="8">
        <v>0</v>
      </c>
    </row>
    <row r="73" spans="2:12" x14ac:dyDescent="0.3">
      <c r="B73" s="116">
        <v>70</v>
      </c>
      <c r="C73" s="4" t="s">
        <v>274</v>
      </c>
      <c r="D73" s="4" t="s">
        <v>209</v>
      </c>
      <c r="E73" s="5">
        <v>108</v>
      </c>
      <c r="F73" s="5">
        <v>80</v>
      </c>
      <c r="G73" s="5">
        <v>57</v>
      </c>
      <c r="H73" s="5">
        <v>45</v>
      </c>
      <c r="I73" s="6">
        <v>0</v>
      </c>
      <c r="J73" s="6">
        <v>0</v>
      </c>
      <c r="K73" s="7">
        <v>0</v>
      </c>
      <c r="L73" s="8">
        <v>0</v>
      </c>
    </row>
    <row r="74" spans="2:12" x14ac:dyDescent="0.3">
      <c r="B74" s="116">
        <v>71</v>
      </c>
      <c r="C74" s="4" t="s">
        <v>275</v>
      </c>
      <c r="D74" s="4" t="s">
        <v>209</v>
      </c>
      <c r="E74" s="5">
        <v>77</v>
      </c>
      <c r="F74" s="5">
        <v>57</v>
      </c>
      <c r="G74" s="5">
        <v>40</v>
      </c>
      <c r="H74" s="5">
        <v>32</v>
      </c>
      <c r="I74" s="6">
        <v>0</v>
      </c>
      <c r="J74" s="6">
        <v>0</v>
      </c>
      <c r="K74" s="7">
        <v>0</v>
      </c>
      <c r="L74" s="8">
        <v>0</v>
      </c>
    </row>
    <row r="75" spans="2:12" x14ac:dyDescent="0.3">
      <c r="B75" s="116">
        <v>72</v>
      </c>
      <c r="C75" s="4" t="s">
        <v>374</v>
      </c>
      <c r="D75" s="4" t="s">
        <v>209</v>
      </c>
      <c r="E75" s="5">
        <v>47</v>
      </c>
      <c r="F75" s="5">
        <v>33</v>
      </c>
      <c r="G75" s="5">
        <v>22</v>
      </c>
      <c r="H75" s="5">
        <v>17</v>
      </c>
      <c r="I75" s="6">
        <v>0</v>
      </c>
      <c r="J75" s="6">
        <v>0</v>
      </c>
      <c r="K75" s="7">
        <v>0</v>
      </c>
      <c r="L75" s="8">
        <v>0</v>
      </c>
    </row>
    <row r="76" spans="2:12" x14ac:dyDescent="0.3">
      <c r="B76" s="116">
        <v>73</v>
      </c>
      <c r="C76" s="4" t="s">
        <v>73</v>
      </c>
      <c r="D76" s="4" t="s">
        <v>209</v>
      </c>
      <c r="E76" s="5">
        <v>77</v>
      </c>
      <c r="F76" s="5">
        <v>57</v>
      </c>
      <c r="G76" s="5">
        <v>40</v>
      </c>
      <c r="H76" s="5">
        <v>32</v>
      </c>
      <c r="I76" s="6">
        <v>0</v>
      </c>
      <c r="J76" s="6">
        <v>0</v>
      </c>
      <c r="K76" s="7">
        <v>0</v>
      </c>
      <c r="L76" s="8">
        <v>0</v>
      </c>
    </row>
    <row r="77" spans="2:12" x14ac:dyDescent="0.3">
      <c r="B77" s="116">
        <v>74</v>
      </c>
      <c r="C77" s="4" t="s">
        <v>74</v>
      </c>
      <c r="D77" s="4" t="s">
        <v>209</v>
      </c>
      <c r="E77" s="5">
        <v>47</v>
      </c>
      <c r="F77" s="5">
        <v>33</v>
      </c>
      <c r="G77" s="5">
        <v>22</v>
      </c>
      <c r="H77" s="5">
        <v>17</v>
      </c>
      <c r="I77" s="6">
        <v>750</v>
      </c>
      <c r="J77" s="6">
        <v>650</v>
      </c>
      <c r="K77" s="7">
        <v>100</v>
      </c>
      <c r="L77" s="8">
        <v>160</v>
      </c>
    </row>
    <row r="78" spans="2:12" x14ac:dyDescent="0.3">
      <c r="B78" s="116">
        <v>75</v>
      </c>
      <c r="C78" s="4" t="s">
        <v>352</v>
      </c>
      <c r="D78" s="4" t="s">
        <v>209</v>
      </c>
      <c r="E78" s="5">
        <v>77</v>
      </c>
      <c r="F78" s="5">
        <v>57</v>
      </c>
      <c r="G78" s="5">
        <v>40</v>
      </c>
      <c r="H78" s="5">
        <v>32</v>
      </c>
      <c r="I78" s="6">
        <v>0</v>
      </c>
      <c r="J78" s="6">
        <v>0</v>
      </c>
      <c r="K78" s="7">
        <v>0</v>
      </c>
      <c r="L78" s="8">
        <v>0</v>
      </c>
    </row>
    <row r="79" spans="2:12" x14ac:dyDescent="0.3">
      <c r="B79" s="116">
        <v>76</v>
      </c>
      <c r="C79" s="4" t="s">
        <v>276</v>
      </c>
      <c r="D79" s="4" t="s">
        <v>209</v>
      </c>
      <c r="E79" s="5">
        <v>47</v>
      </c>
      <c r="F79" s="5">
        <v>33</v>
      </c>
      <c r="G79" s="5">
        <v>22</v>
      </c>
      <c r="H79" s="5">
        <v>17</v>
      </c>
      <c r="I79" s="6">
        <v>0</v>
      </c>
      <c r="J79" s="6">
        <v>0</v>
      </c>
      <c r="K79" s="7">
        <v>0</v>
      </c>
      <c r="L79" s="8">
        <v>0</v>
      </c>
    </row>
    <row r="80" spans="2:12" x14ac:dyDescent="0.3">
      <c r="B80" s="116">
        <v>77</v>
      </c>
      <c r="C80" s="4" t="s">
        <v>277</v>
      </c>
      <c r="D80" s="4" t="s">
        <v>209</v>
      </c>
      <c r="E80" s="5">
        <v>47</v>
      </c>
      <c r="F80" s="5">
        <v>33</v>
      </c>
      <c r="G80" s="5">
        <v>22</v>
      </c>
      <c r="H80" s="5">
        <v>17</v>
      </c>
      <c r="I80" s="6">
        <v>0</v>
      </c>
      <c r="J80" s="6">
        <v>0</v>
      </c>
      <c r="K80" s="7">
        <v>0</v>
      </c>
      <c r="L80" s="8">
        <v>0</v>
      </c>
    </row>
    <row r="81" spans="2:12" x14ac:dyDescent="0.3">
      <c r="B81" s="116">
        <v>78</v>
      </c>
      <c r="C81" s="4" t="s">
        <v>278</v>
      </c>
      <c r="D81" s="4" t="s">
        <v>209</v>
      </c>
      <c r="E81" s="5">
        <v>47</v>
      </c>
      <c r="F81" s="5">
        <v>33</v>
      </c>
      <c r="G81" s="5">
        <v>22</v>
      </c>
      <c r="H81" s="5">
        <v>17</v>
      </c>
      <c r="I81" s="6">
        <v>0</v>
      </c>
      <c r="J81" s="6">
        <v>0</v>
      </c>
      <c r="K81" s="7">
        <v>0</v>
      </c>
      <c r="L81" s="8">
        <v>0</v>
      </c>
    </row>
    <row r="82" spans="2:12" x14ac:dyDescent="0.3">
      <c r="B82" s="116">
        <v>79</v>
      </c>
      <c r="C82" s="4" t="s">
        <v>373</v>
      </c>
      <c r="D82" s="4" t="s">
        <v>209</v>
      </c>
      <c r="E82" s="5">
        <v>47</v>
      </c>
      <c r="F82" s="5">
        <v>33</v>
      </c>
      <c r="G82" s="5">
        <v>22</v>
      </c>
      <c r="H82" s="5">
        <v>17</v>
      </c>
      <c r="I82" s="6">
        <v>0</v>
      </c>
      <c r="J82" s="6">
        <v>0</v>
      </c>
      <c r="K82" s="7">
        <v>0</v>
      </c>
      <c r="L82" s="8">
        <v>0</v>
      </c>
    </row>
    <row r="83" spans="2:12" x14ac:dyDescent="0.3">
      <c r="B83" s="116">
        <v>80</v>
      </c>
      <c r="C83" s="4" t="s">
        <v>279</v>
      </c>
      <c r="D83" s="4" t="s">
        <v>209</v>
      </c>
      <c r="E83" s="5">
        <v>108</v>
      </c>
      <c r="F83" s="5">
        <v>80</v>
      </c>
      <c r="G83" s="5">
        <v>57</v>
      </c>
      <c r="H83" s="5">
        <v>45</v>
      </c>
      <c r="I83" s="6">
        <v>0</v>
      </c>
      <c r="J83" s="6">
        <v>0</v>
      </c>
      <c r="K83" s="7">
        <v>0</v>
      </c>
      <c r="L83" s="8">
        <v>0</v>
      </c>
    </row>
    <row r="84" spans="2:12" x14ac:dyDescent="0.3">
      <c r="B84" s="116">
        <v>81</v>
      </c>
      <c r="C84" s="4" t="s">
        <v>280</v>
      </c>
      <c r="D84" s="4" t="s">
        <v>209</v>
      </c>
      <c r="E84" s="5">
        <v>47</v>
      </c>
      <c r="F84" s="5">
        <v>33</v>
      </c>
      <c r="G84" s="5">
        <v>22</v>
      </c>
      <c r="H84" s="5">
        <v>17</v>
      </c>
      <c r="I84" s="6">
        <v>0</v>
      </c>
      <c r="J84" s="6">
        <v>0</v>
      </c>
      <c r="K84" s="7">
        <v>0</v>
      </c>
      <c r="L84" s="8">
        <v>0</v>
      </c>
    </row>
    <row r="85" spans="2:12" x14ac:dyDescent="0.3">
      <c r="B85" s="116">
        <v>82</v>
      </c>
      <c r="C85" s="4" t="s">
        <v>75</v>
      </c>
      <c r="D85" s="4" t="s">
        <v>209</v>
      </c>
      <c r="E85" s="5">
        <v>77</v>
      </c>
      <c r="F85" s="5">
        <v>57</v>
      </c>
      <c r="G85" s="5">
        <v>40</v>
      </c>
      <c r="H85" s="5">
        <v>32</v>
      </c>
      <c r="I85" s="6">
        <v>750</v>
      </c>
      <c r="J85" s="6">
        <v>650</v>
      </c>
      <c r="K85" s="7">
        <v>100</v>
      </c>
      <c r="L85" s="8">
        <v>160</v>
      </c>
    </row>
    <row r="86" spans="2:12" x14ac:dyDescent="0.3">
      <c r="B86" s="116">
        <v>83</v>
      </c>
      <c r="C86" s="4" t="s">
        <v>281</v>
      </c>
      <c r="D86" s="4" t="s">
        <v>209</v>
      </c>
      <c r="E86" s="5">
        <v>47</v>
      </c>
      <c r="F86" s="5">
        <v>33</v>
      </c>
      <c r="G86" s="5">
        <v>22</v>
      </c>
      <c r="H86" s="5">
        <v>17</v>
      </c>
      <c r="I86" s="6">
        <v>0</v>
      </c>
      <c r="J86" s="6">
        <v>0</v>
      </c>
      <c r="K86" s="7">
        <v>0</v>
      </c>
      <c r="L86" s="8">
        <v>0</v>
      </c>
    </row>
    <row r="87" spans="2:12" x14ac:dyDescent="0.3">
      <c r="B87" s="116">
        <v>84</v>
      </c>
      <c r="C87" s="4" t="s">
        <v>282</v>
      </c>
      <c r="D87" s="4" t="s">
        <v>209</v>
      </c>
      <c r="E87" s="5">
        <v>108</v>
      </c>
      <c r="F87" s="5">
        <v>80</v>
      </c>
      <c r="G87" s="5">
        <v>57</v>
      </c>
      <c r="H87" s="5">
        <v>45</v>
      </c>
      <c r="I87" s="6">
        <v>0</v>
      </c>
      <c r="J87" s="6">
        <v>0</v>
      </c>
      <c r="K87" s="7">
        <v>0</v>
      </c>
      <c r="L87" s="8">
        <v>0</v>
      </c>
    </row>
    <row r="88" spans="2:12" x14ac:dyDescent="0.3">
      <c r="B88" s="116">
        <v>85</v>
      </c>
      <c r="C88" s="4" t="s">
        <v>76</v>
      </c>
      <c r="D88" s="4" t="s">
        <v>209</v>
      </c>
      <c r="E88" s="5">
        <v>77</v>
      </c>
      <c r="F88" s="5">
        <v>57</v>
      </c>
      <c r="G88" s="5">
        <v>40</v>
      </c>
      <c r="H88" s="5">
        <v>32</v>
      </c>
      <c r="I88" s="6">
        <v>0</v>
      </c>
      <c r="J88" s="6">
        <v>0</v>
      </c>
      <c r="K88" s="7">
        <v>0</v>
      </c>
      <c r="L88" s="8">
        <v>0</v>
      </c>
    </row>
    <row r="89" spans="2:12" x14ac:dyDescent="0.3">
      <c r="B89" s="116">
        <v>86</v>
      </c>
      <c r="C89" s="4" t="s">
        <v>283</v>
      </c>
      <c r="D89" s="4" t="s">
        <v>209</v>
      </c>
      <c r="E89" s="5">
        <v>47</v>
      </c>
      <c r="F89" s="5">
        <v>33</v>
      </c>
      <c r="G89" s="5">
        <v>22</v>
      </c>
      <c r="H89" s="5">
        <v>17</v>
      </c>
      <c r="I89" s="6">
        <v>0</v>
      </c>
      <c r="J89" s="6">
        <v>0</v>
      </c>
      <c r="K89" s="7">
        <v>0</v>
      </c>
      <c r="L89" s="8">
        <v>0</v>
      </c>
    </row>
    <row r="90" spans="2:12" x14ac:dyDescent="0.3">
      <c r="B90" s="116">
        <v>87</v>
      </c>
      <c r="C90" s="4" t="s">
        <v>284</v>
      </c>
      <c r="D90" s="4" t="s">
        <v>209</v>
      </c>
      <c r="E90" s="5">
        <v>77</v>
      </c>
      <c r="F90" s="5">
        <v>57</v>
      </c>
      <c r="G90" s="5">
        <v>40</v>
      </c>
      <c r="H90" s="5">
        <v>32</v>
      </c>
      <c r="I90" s="6">
        <v>0</v>
      </c>
      <c r="J90" s="6">
        <v>0</v>
      </c>
      <c r="K90" s="7">
        <v>0</v>
      </c>
      <c r="L90" s="8">
        <v>0</v>
      </c>
    </row>
    <row r="91" spans="2:12" x14ac:dyDescent="0.3">
      <c r="B91" s="116">
        <v>88</v>
      </c>
      <c r="C91" s="4" t="s">
        <v>285</v>
      </c>
      <c r="D91" s="4" t="s">
        <v>209</v>
      </c>
      <c r="E91" s="5">
        <v>47</v>
      </c>
      <c r="F91" s="5">
        <v>33</v>
      </c>
      <c r="G91" s="5">
        <v>22</v>
      </c>
      <c r="H91" s="5">
        <v>17</v>
      </c>
      <c r="I91" s="6">
        <v>0</v>
      </c>
      <c r="J91" s="6">
        <v>0</v>
      </c>
      <c r="K91" s="7">
        <v>0</v>
      </c>
      <c r="L91" s="8">
        <v>0</v>
      </c>
    </row>
    <row r="92" spans="2:12" x14ac:dyDescent="0.3">
      <c r="B92" s="116">
        <v>89</v>
      </c>
      <c r="C92" s="4" t="s">
        <v>286</v>
      </c>
      <c r="D92" s="4" t="s">
        <v>209</v>
      </c>
      <c r="E92" s="5">
        <v>77</v>
      </c>
      <c r="F92" s="5">
        <v>57</v>
      </c>
      <c r="G92" s="5">
        <v>40</v>
      </c>
      <c r="H92" s="5">
        <v>32</v>
      </c>
      <c r="I92" s="6">
        <v>0</v>
      </c>
      <c r="J92" s="6">
        <v>0</v>
      </c>
      <c r="K92" s="7">
        <v>0</v>
      </c>
      <c r="L92" s="8">
        <v>0</v>
      </c>
    </row>
    <row r="93" spans="2:12" x14ac:dyDescent="0.3">
      <c r="B93" s="116">
        <v>90</v>
      </c>
      <c r="C93" s="4" t="s">
        <v>77</v>
      </c>
      <c r="D93" s="4" t="s">
        <v>209</v>
      </c>
      <c r="E93" s="5">
        <v>47</v>
      </c>
      <c r="F93" s="5">
        <v>33</v>
      </c>
      <c r="G93" s="5">
        <v>22</v>
      </c>
      <c r="H93" s="5">
        <v>17</v>
      </c>
      <c r="I93" s="6">
        <v>0</v>
      </c>
      <c r="J93" s="6">
        <v>0</v>
      </c>
      <c r="K93" s="7">
        <v>0</v>
      </c>
      <c r="L93" s="8">
        <v>0</v>
      </c>
    </row>
    <row r="94" spans="2:12" x14ac:dyDescent="0.3">
      <c r="B94" s="116">
        <v>91</v>
      </c>
      <c r="C94" s="4" t="s">
        <v>78</v>
      </c>
      <c r="D94" s="4" t="s">
        <v>209</v>
      </c>
      <c r="E94" s="5">
        <v>47</v>
      </c>
      <c r="F94" s="5">
        <v>33</v>
      </c>
      <c r="G94" s="5">
        <v>22</v>
      </c>
      <c r="H94" s="5">
        <v>17</v>
      </c>
      <c r="I94" s="6">
        <v>0</v>
      </c>
      <c r="J94" s="6">
        <v>0</v>
      </c>
      <c r="K94" s="7">
        <v>0</v>
      </c>
      <c r="L94" s="8">
        <v>0</v>
      </c>
    </row>
    <row r="95" spans="2:12" x14ac:dyDescent="0.3">
      <c r="B95" s="116">
        <v>92</v>
      </c>
      <c r="C95" s="4" t="s">
        <v>79</v>
      </c>
      <c r="D95" s="4" t="s">
        <v>209</v>
      </c>
      <c r="E95" s="5">
        <v>47</v>
      </c>
      <c r="F95" s="5">
        <v>33</v>
      </c>
      <c r="G95" s="5">
        <v>22</v>
      </c>
      <c r="H95" s="5">
        <v>17</v>
      </c>
      <c r="I95" s="6">
        <v>0</v>
      </c>
      <c r="J95" s="6">
        <v>0</v>
      </c>
      <c r="K95" s="7">
        <v>0</v>
      </c>
      <c r="L95" s="8">
        <v>0</v>
      </c>
    </row>
    <row r="96" spans="2:12" x14ac:dyDescent="0.3">
      <c r="B96" s="116">
        <v>93</v>
      </c>
      <c r="C96" s="4" t="s">
        <v>80</v>
      </c>
      <c r="D96" s="4" t="s">
        <v>209</v>
      </c>
      <c r="E96" s="5">
        <v>77</v>
      </c>
      <c r="F96" s="5">
        <v>57</v>
      </c>
      <c r="G96" s="5">
        <v>40</v>
      </c>
      <c r="H96" s="5">
        <v>32</v>
      </c>
      <c r="I96" s="6">
        <v>0</v>
      </c>
      <c r="J96" s="6">
        <v>0</v>
      </c>
      <c r="K96" s="7">
        <v>0</v>
      </c>
      <c r="L96" s="8">
        <v>0</v>
      </c>
    </row>
    <row r="97" spans="2:12" x14ac:dyDescent="0.3">
      <c r="B97" s="116">
        <v>94</v>
      </c>
      <c r="C97" s="4" t="s">
        <v>81</v>
      </c>
      <c r="D97" s="4" t="s">
        <v>209</v>
      </c>
      <c r="E97" s="5">
        <v>77</v>
      </c>
      <c r="F97" s="5">
        <v>57</v>
      </c>
      <c r="G97" s="5">
        <v>40</v>
      </c>
      <c r="H97" s="5">
        <v>32</v>
      </c>
      <c r="I97" s="6">
        <v>0</v>
      </c>
      <c r="J97" s="6">
        <v>0</v>
      </c>
      <c r="K97" s="7">
        <v>0</v>
      </c>
      <c r="L97" s="8">
        <v>0</v>
      </c>
    </row>
    <row r="98" spans="2:12" x14ac:dyDescent="0.3">
      <c r="B98" s="116">
        <v>95</v>
      </c>
      <c r="C98" s="4" t="s">
        <v>55</v>
      </c>
      <c r="D98" s="4" t="s">
        <v>209</v>
      </c>
      <c r="E98" s="5">
        <v>166</v>
      </c>
      <c r="F98" s="5">
        <v>132</v>
      </c>
      <c r="G98" s="5">
        <v>102</v>
      </c>
      <c r="H98" s="5">
        <v>92</v>
      </c>
      <c r="I98" s="6">
        <v>750</v>
      </c>
      <c r="J98" s="6">
        <v>650</v>
      </c>
      <c r="K98" s="7">
        <v>100</v>
      </c>
      <c r="L98" s="8">
        <v>160</v>
      </c>
    </row>
    <row r="99" spans="2:12" x14ac:dyDescent="0.3">
      <c r="B99" s="116">
        <v>96</v>
      </c>
      <c r="C99" s="4" t="s">
        <v>287</v>
      </c>
      <c r="D99" s="4" t="s">
        <v>209</v>
      </c>
      <c r="E99" s="5">
        <v>108</v>
      </c>
      <c r="F99" s="5">
        <v>80</v>
      </c>
      <c r="G99" s="5">
        <v>57</v>
      </c>
      <c r="H99" s="5">
        <v>45</v>
      </c>
      <c r="I99" s="6">
        <v>0</v>
      </c>
      <c r="J99" s="6">
        <v>0</v>
      </c>
      <c r="K99" s="7">
        <v>0</v>
      </c>
      <c r="L99" s="8">
        <v>0</v>
      </c>
    </row>
    <row r="100" spans="2:12" x14ac:dyDescent="0.3">
      <c r="B100" s="116">
        <v>97</v>
      </c>
      <c r="C100" s="4" t="s">
        <v>288</v>
      </c>
      <c r="D100" s="4" t="s">
        <v>209</v>
      </c>
      <c r="E100" s="5">
        <v>77</v>
      </c>
      <c r="F100" s="5">
        <v>57</v>
      </c>
      <c r="G100" s="5">
        <v>40</v>
      </c>
      <c r="H100" s="5">
        <v>32</v>
      </c>
      <c r="I100" s="6">
        <v>0</v>
      </c>
      <c r="J100" s="6">
        <v>0</v>
      </c>
      <c r="K100" s="7">
        <v>0</v>
      </c>
      <c r="L100" s="8">
        <v>0</v>
      </c>
    </row>
    <row r="101" spans="2:12" x14ac:dyDescent="0.3">
      <c r="B101" s="116">
        <v>98</v>
      </c>
      <c r="C101" s="4" t="s">
        <v>82</v>
      </c>
      <c r="D101" s="4" t="s">
        <v>209</v>
      </c>
      <c r="E101" s="5">
        <v>77</v>
      </c>
      <c r="F101" s="5">
        <v>57</v>
      </c>
      <c r="G101" s="5">
        <v>40</v>
      </c>
      <c r="H101" s="5">
        <v>32</v>
      </c>
      <c r="I101" s="6">
        <v>750</v>
      </c>
      <c r="J101" s="6">
        <v>650</v>
      </c>
      <c r="K101" s="7">
        <v>100</v>
      </c>
      <c r="L101" s="8">
        <v>160</v>
      </c>
    </row>
    <row r="102" spans="2:12" x14ac:dyDescent="0.3">
      <c r="B102" s="116">
        <v>99</v>
      </c>
      <c r="C102" s="4" t="s">
        <v>377</v>
      </c>
      <c r="D102" s="4" t="s">
        <v>209</v>
      </c>
      <c r="E102" s="5">
        <v>77</v>
      </c>
      <c r="F102" s="5">
        <v>57</v>
      </c>
      <c r="G102" s="5">
        <v>40</v>
      </c>
      <c r="H102" s="5">
        <v>32</v>
      </c>
      <c r="I102" s="6">
        <v>0</v>
      </c>
      <c r="J102" s="6">
        <v>0</v>
      </c>
      <c r="K102" s="7">
        <v>0</v>
      </c>
      <c r="L102" s="8">
        <v>0</v>
      </c>
    </row>
    <row r="103" spans="2:12" x14ac:dyDescent="0.3">
      <c r="B103" s="116">
        <v>100</v>
      </c>
      <c r="C103" s="4" t="s">
        <v>289</v>
      </c>
      <c r="D103" s="4" t="s">
        <v>209</v>
      </c>
      <c r="E103" s="5">
        <v>77</v>
      </c>
      <c r="F103" s="5">
        <v>57</v>
      </c>
      <c r="G103" s="5">
        <v>40</v>
      </c>
      <c r="H103" s="5">
        <v>32</v>
      </c>
      <c r="I103" s="6">
        <v>0</v>
      </c>
      <c r="J103" s="6">
        <v>0</v>
      </c>
      <c r="K103" s="7">
        <v>0</v>
      </c>
      <c r="L103" s="8">
        <v>0</v>
      </c>
    </row>
    <row r="104" spans="2:12" x14ac:dyDescent="0.3">
      <c r="B104" s="116">
        <v>101</v>
      </c>
      <c r="C104" s="4" t="s">
        <v>290</v>
      </c>
      <c r="D104" s="4" t="s">
        <v>209</v>
      </c>
      <c r="E104" s="5">
        <v>47</v>
      </c>
      <c r="F104" s="5">
        <v>33</v>
      </c>
      <c r="G104" s="5">
        <v>22</v>
      </c>
      <c r="H104" s="5">
        <v>17</v>
      </c>
      <c r="I104" s="6">
        <v>0</v>
      </c>
      <c r="J104" s="6">
        <v>0</v>
      </c>
      <c r="K104" s="7">
        <v>0</v>
      </c>
      <c r="L104" s="8">
        <v>0</v>
      </c>
    </row>
    <row r="105" spans="2:12" x14ac:dyDescent="0.3">
      <c r="B105" s="116">
        <v>102</v>
      </c>
      <c r="C105" s="4" t="s">
        <v>174</v>
      </c>
      <c r="D105" s="4" t="s">
        <v>209</v>
      </c>
      <c r="E105" s="5">
        <v>108</v>
      </c>
      <c r="F105" s="5">
        <v>80</v>
      </c>
      <c r="G105" s="5">
        <v>57</v>
      </c>
      <c r="H105" s="5">
        <v>45</v>
      </c>
      <c r="I105" s="6">
        <v>750</v>
      </c>
      <c r="J105" s="6">
        <v>650</v>
      </c>
      <c r="K105" s="7">
        <v>100</v>
      </c>
      <c r="L105" s="8">
        <v>160</v>
      </c>
    </row>
    <row r="106" spans="2:12" x14ac:dyDescent="0.3">
      <c r="B106" s="116">
        <v>103</v>
      </c>
      <c r="C106" s="4" t="s">
        <v>83</v>
      </c>
      <c r="D106" s="4" t="s">
        <v>209</v>
      </c>
      <c r="E106" s="5">
        <v>47</v>
      </c>
      <c r="F106" s="5">
        <v>33</v>
      </c>
      <c r="G106" s="5">
        <v>22</v>
      </c>
      <c r="H106" s="5">
        <v>17</v>
      </c>
      <c r="I106" s="6">
        <v>0</v>
      </c>
      <c r="J106" s="6">
        <v>0</v>
      </c>
      <c r="K106" s="7">
        <v>0</v>
      </c>
      <c r="L106" s="8">
        <v>0</v>
      </c>
    </row>
    <row r="107" spans="2:12" x14ac:dyDescent="0.3">
      <c r="B107" s="116">
        <v>104</v>
      </c>
      <c r="C107" s="4" t="s">
        <v>84</v>
      </c>
      <c r="D107" s="4" t="s">
        <v>209</v>
      </c>
      <c r="E107" s="5">
        <v>47</v>
      </c>
      <c r="F107" s="5">
        <v>33</v>
      </c>
      <c r="G107" s="5">
        <v>22</v>
      </c>
      <c r="H107" s="5">
        <v>17</v>
      </c>
      <c r="I107" s="6">
        <v>0</v>
      </c>
      <c r="J107" s="6">
        <v>0</v>
      </c>
      <c r="K107" s="7">
        <v>0</v>
      </c>
      <c r="L107" s="8">
        <v>0</v>
      </c>
    </row>
    <row r="108" spans="2:12" x14ac:dyDescent="0.3">
      <c r="B108" s="116">
        <v>105</v>
      </c>
      <c r="C108" s="4" t="s">
        <v>85</v>
      </c>
      <c r="D108" s="4" t="s">
        <v>209</v>
      </c>
      <c r="E108" s="5">
        <v>108</v>
      </c>
      <c r="F108" s="5">
        <v>80</v>
      </c>
      <c r="G108" s="5">
        <v>57</v>
      </c>
      <c r="H108" s="5">
        <v>45</v>
      </c>
      <c r="I108" s="6">
        <v>750</v>
      </c>
      <c r="J108" s="6">
        <v>650</v>
      </c>
      <c r="K108" s="7">
        <v>100</v>
      </c>
      <c r="L108" s="8">
        <v>160</v>
      </c>
    </row>
    <row r="109" spans="2:12" x14ac:dyDescent="0.3">
      <c r="B109" s="116">
        <v>106</v>
      </c>
      <c r="C109" s="4" t="s">
        <v>291</v>
      </c>
      <c r="D109" s="4" t="s">
        <v>209</v>
      </c>
      <c r="E109" s="5">
        <v>47</v>
      </c>
      <c r="F109" s="5">
        <v>33</v>
      </c>
      <c r="G109" s="5">
        <v>22</v>
      </c>
      <c r="H109" s="5">
        <v>17</v>
      </c>
      <c r="I109" s="6">
        <v>0</v>
      </c>
      <c r="J109" s="6">
        <v>0</v>
      </c>
      <c r="K109" s="7">
        <v>0</v>
      </c>
      <c r="L109" s="8">
        <v>0</v>
      </c>
    </row>
    <row r="110" spans="2:12" x14ac:dyDescent="0.3">
      <c r="B110" s="116">
        <v>107</v>
      </c>
      <c r="C110" s="4" t="s">
        <v>292</v>
      </c>
      <c r="D110" s="4" t="s">
        <v>209</v>
      </c>
      <c r="E110" s="5">
        <v>47</v>
      </c>
      <c r="F110" s="5">
        <v>33</v>
      </c>
      <c r="G110" s="5">
        <v>22</v>
      </c>
      <c r="H110" s="5">
        <v>17</v>
      </c>
      <c r="I110" s="6">
        <v>0</v>
      </c>
      <c r="J110" s="6">
        <v>0</v>
      </c>
      <c r="K110" s="7">
        <v>0</v>
      </c>
      <c r="L110" s="8">
        <v>0</v>
      </c>
    </row>
    <row r="111" spans="2:12" x14ac:dyDescent="0.3">
      <c r="B111" s="116">
        <v>108</v>
      </c>
      <c r="C111" s="4" t="s">
        <v>86</v>
      </c>
      <c r="D111" s="4" t="s">
        <v>209</v>
      </c>
      <c r="E111" s="5">
        <v>108</v>
      </c>
      <c r="F111" s="5">
        <v>80</v>
      </c>
      <c r="G111" s="5">
        <v>57</v>
      </c>
      <c r="H111" s="5">
        <v>45</v>
      </c>
      <c r="I111" s="6">
        <v>750</v>
      </c>
      <c r="J111" s="6">
        <v>650</v>
      </c>
      <c r="K111" s="7">
        <v>100</v>
      </c>
      <c r="L111" s="8">
        <v>160</v>
      </c>
    </row>
    <row r="112" spans="2:12" x14ac:dyDescent="0.3">
      <c r="B112" s="116">
        <v>109</v>
      </c>
      <c r="C112" s="4" t="s">
        <v>293</v>
      </c>
      <c r="D112" s="4" t="s">
        <v>209</v>
      </c>
      <c r="E112" s="5">
        <v>47</v>
      </c>
      <c r="F112" s="5">
        <v>33</v>
      </c>
      <c r="G112" s="5">
        <v>22</v>
      </c>
      <c r="H112" s="5">
        <v>17</v>
      </c>
      <c r="I112" s="6">
        <v>0</v>
      </c>
      <c r="J112" s="6">
        <v>0</v>
      </c>
      <c r="K112" s="7">
        <v>0</v>
      </c>
      <c r="L112" s="8">
        <v>0</v>
      </c>
    </row>
    <row r="113" spans="2:12" x14ac:dyDescent="0.3">
      <c r="B113" s="116">
        <v>110</v>
      </c>
      <c r="C113" s="4" t="s">
        <v>294</v>
      </c>
      <c r="D113" s="4" t="s">
        <v>209</v>
      </c>
      <c r="E113" s="5">
        <v>47</v>
      </c>
      <c r="F113" s="5">
        <v>33</v>
      </c>
      <c r="G113" s="5">
        <v>22</v>
      </c>
      <c r="H113" s="5">
        <v>17</v>
      </c>
      <c r="I113" s="6">
        <v>0</v>
      </c>
      <c r="J113" s="6">
        <v>0</v>
      </c>
      <c r="K113" s="7">
        <v>0</v>
      </c>
      <c r="L113" s="8">
        <v>0</v>
      </c>
    </row>
    <row r="114" spans="2:12" x14ac:dyDescent="0.3">
      <c r="B114" s="116">
        <v>111</v>
      </c>
      <c r="C114" s="4" t="s">
        <v>87</v>
      </c>
      <c r="D114" s="4" t="s">
        <v>209</v>
      </c>
      <c r="E114" s="5">
        <v>47</v>
      </c>
      <c r="F114" s="5">
        <v>33</v>
      </c>
      <c r="G114" s="5">
        <v>22</v>
      </c>
      <c r="H114" s="5">
        <v>17</v>
      </c>
      <c r="I114" s="6">
        <v>0</v>
      </c>
      <c r="J114" s="6">
        <v>0</v>
      </c>
      <c r="K114" s="7">
        <v>0</v>
      </c>
      <c r="L114" s="8">
        <v>0</v>
      </c>
    </row>
    <row r="115" spans="2:12" x14ac:dyDescent="0.3">
      <c r="B115" s="116">
        <v>112</v>
      </c>
      <c r="C115" s="4" t="s">
        <v>88</v>
      </c>
      <c r="D115" s="4" t="s">
        <v>209</v>
      </c>
      <c r="E115" s="5">
        <v>47</v>
      </c>
      <c r="F115" s="5">
        <v>33</v>
      </c>
      <c r="G115" s="5">
        <v>22</v>
      </c>
      <c r="H115" s="5">
        <v>17</v>
      </c>
      <c r="I115" s="6">
        <v>0</v>
      </c>
      <c r="J115" s="6">
        <v>0</v>
      </c>
      <c r="K115" s="7">
        <v>0</v>
      </c>
      <c r="L115" s="8">
        <v>0</v>
      </c>
    </row>
    <row r="116" spans="2:12" x14ac:dyDescent="0.3">
      <c r="B116" s="116">
        <v>113</v>
      </c>
      <c r="C116" s="4" t="s">
        <v>295</v>
      </c>
      <c r="D116" s="4" t="s">
        <v>209</v>
      </c>
      <c r="E116" s="5">
        <v>47</v>
      </c>
      <c r="F116" s="5">
        <v>33</v>
      </c>
      <c r="G116" s="5">
        <v>22</v>
      </c>
      <c r="H116" s="5">
        <v>17</v>
      </c>
      <c r="I116" s="6">
        <v>0</v>
      </c>
      <c r="J116" s="6">
        <v>0</v>
      </c>
      <c r="K116" s="7">
        <v>0</v>
      </c>
      <c r="L116" s="8">
        <v>0</v>
      </c>
    </row>
    <row r="117" spans="2:12" x14ac:dyDescent="0.3">
      <c r="B117" s="116">
        <v>114</v>
      </c>
      <c r="C117" s="4" t="s">
        <v>296</v>
      </c>
      <c r="D117" s="4" t="s">
        <v>209</v>
      </c>
      <c r="E117" s="5">
        <v>47</v>
      </c>
      <c r="F117" s="5">
        <v>33</v>
      </c>
      <c r="G117" s="5">
        <v>22</v>
      </c>
      <c r="H117" s="5">
        <v>17</v>
      </c>
      <c r="I117" s="6">
        <v>0</v>
      </c>
      <c r="J117" s="6">
        <v>0</v>
      </c>
      <c r="K117" s="7">
        <v>0</v>
      </c>
      <c r="L117" s="8">
        <v>0</v>
      </c>
    </row>
    <row r="118" spans="2:12" x14ac:dyDescent="0.3">
      <c r="B118" s="116">
        <v>115</v>
      </c>
      <c r="C118" s="4" t="s">
        <v>297</v>
      </c>
      <c r="D118" s="4" t="s">
        <v>209</v>
      </c>
      <c r="E118" s="5">
        <v>47</v>
      </c>
      <c r="F118" s="5">
        <v>33</v>
      </c>
      <c r="G118" s="5">
        <v>22</v>
      </c>
      <c r="H118" s="5">
        <v>17</v>
      </c>
      <c r="I118" s="6">
        <v>0</v>
      </c>
      <c r="J118" s="6">
        <v>0</v>
      </c>
      <c r="K118" s="7">
        <v>0</v>
      </c>
      <c r="L118" s="8">
        <v>0</v>
      </c>
    </row>
    <row r="119" spans="2:12" x14ac:dyDescent="0.3">
      <c r="B119" s="116">
        <v>116</v>
      </c>
      <c r="C119" s="4" t="s">
        <v>298</v>
      </c>
      <c r="D119" s="4" t="s">
        <v>209</v>
      </c>
      <c r="E119" s="5">
        <v>47</v>
      </c>
      <c r="F119" s="5">
        <v>33</v>
      </c>
      <c r="G119" s="5">
        <v>22</v>
      </c>
      <c r="H119" s="5">
        <v>17</v>
      </c>
      <c r="I119" s="6">
        <v>0</v>
      </c>
      <c r="J119" s="6">
        <v>0</v>
      </c>
      <c r="K119" s="7">
        <v>0</v>
      </c>
      <c r="L119" s="8">
        <v>0</v>
      </c>
    </row>
    <row r="120" spans="2:12" x14ac:dyDescent="0.3">
      <c r="B120" s="116">
        <v>117</v>
      </c>
      <c r="C120" s="4" t="s">
        <v>89</v>
      </c>
      <c r="D120" s="4" t="s">
        <v>209</v>
      </c>
      <c r="E120" s="5">
        <v>108</v>
      </c>
      <c r="F120" s="5">
        <v>80</v>
      </c>
      <c r="G120" s="5">
        <v>57</v>
      </c>
      <c r="H120" s="5">
        <v>45</v>
      </c>
      <c r="I120" s="6">
        <v>0</v>
      </c>
      <c r="J120" s="6">
        <v>0</v>
      </c>
      <c r="K120" s="7">
        <v>0</v>
      </c>
      <c r="L120" s="8">
        <v>0</v>
      </c>
    </row>
    <row r="121" spans="2:12" x14ac:dyDescent="0.3">
      <c r="B121" s="116">
        <v>118</v>
      </c>
      <c r="C121" s="4" t="s">
        <v>379</v>
      </c>
      <c r="D121" s="4" t="s">
        <v>209</v>
      </c>
      <c r="E121" s="5">
        <v>77</v>
      </c>
      <c r="F121" s="5">
        <v>57</v>
      </c>
      <c r="G121" s="5">
        <v>40</v>
      </c>
      <c r="H121" s="5">
        <v>32</v>
      </c>
      <c r="I121" s="6">
        <v>0</v>
      </c>
      <c r="J121" s="6">
        <v>0</v>
      </c>
      <c r="K121" s="7">
        <v>0</v>
      </c>
      <c r="L121" s="8">
        <v>0</v>
      </c>
    </row>
    <row r="122" spans="2:12" x14ac:dyDescent="0.3">
      <c r="B122" s="116">
        <v>119</v>
      </c>
      <c r="C122" s="4" t="s">
        <v>90</v>
      </c>
      <c r="D122" s="4" t="s">
        <v>209</v>
      </c>
      <c r="E122" s="5">
        <v>47</v>
      </c>
      <c r="F122" s="5">
        <v>33</v>
      </c>
      <c r="G122" s="5">
        <v>22</v>
      </c>
      <c r="H122" s="5">
        <v>17</v>
      </c>
      <c r="I122" s="6">
        <v>750</v>
      </c>
      <c r="J122" s="6">
        <v>650</v>
      </c>
      <c r="K122" s="7">
        <v>100</v>
      </c>
      <c r="L122" s="8">
        <v>160</v>
      </c>
    </row>
    <row r="123" spans="2:12" x14ac:dyDescent="0.3">
      <c r="B123" s="116">
        <v>120</v>
      </c>
      <c r="C123" s="4" t="s">
        <v>91</v>
      </c>
      <c r="D123" s="4" t="s">
        <v>209</v>
      </c>
      <c r="E123" s="5">
        <v>47</v>
      </c>
      <c r="F123" s="5">
        <v>33</v>
      </c>
      <c r="G123" s="5">
        <v>22</v>
      </c>
      <c r="H123" s="5">
        <v>17</v>
      </c>
      <c r="I123" s="6">
        <v>0</v>
      </c>
      <c r="J123" s="6">
        <v>0</v>
      </c>
      <c r="K123" s="7">
        <v>0</v>
      </c>
      <c r="L123" s="8">
        <v>0</v>
      </c>
    </row>
    <row r="124" spans="2:12" x14ac:dyDescent="0.3">
      <c r="B124" s="116">
        <v>121</v>
      </c>
      <c r="C124" s="4" t="s">
        <v>92</v>
      </c>
      <c r="D124" s="4" t="s">
        <v>209</v>
      </c>
      <c r="E124" s="5">
        <v>108</v>
      </c>
      <c r="F124" s="5">
        <v>80</v>
      </c>
      <c r="G124" s="5">
        <v>57</v>
      </c>
      <c r="H124" s="5">
        <v>45</v>
      </c>
      <c r="I124" s="6">
        <v>750</v>
      </c>
      <c r="J124" s="6">
        <v>650</v>
      </c>
      <c r="K124" s="7">
        <v>100</v>
      </c>
      <c r="L124" s="8">
        <v>160</v>
      </c>
    </row>
    <row r="125" spans="2:12" x14ac:dyDescent="0.3">
      <c r="B125" s="116">
        <v>122</v>
      </c>
      <c r="C125" s="4" t="s">
        <v>93</v>
      </c>
      <c r="D125" s="4" t="s">
        <v>209</v>
      </c>
      <c r="E125" s="5">
        <v>77</v>
      </c>
      <c r="F125" s="5">
        <v>57</v>
      </c>
      <c r="G125" s="5">
        <v>40</v>
      </c>
      <c r="H125" s="5">
        <v>32</v>
      </c>
      <c r="I125" s="6">
        <v>750</v>
      </c>
      <c r="J125" s="6">
        <v>650</v>
      </c>
      <c r="K125" s="7">
        <v>100</v>
      </c>
      <c r="L125" s="8">
        <v>160</v>
      </c>
    </row>
    <row r="126" spans="2:12" x14ac:dyDescent="0.3">
      <c r="B126" s="116">
        <v>123</v>
      </c>
      <c r="C126" s="4" t="s">
        <v>299</v>
      </c>
      <c r="D126" s="4" t="s">
        <v>209</v>
      </c>
      <c r="E126" s="5">
        <v>77</v>
      </c>
      <c r="F126" s="5">
        <v>57</v>
      </c>
      <c r="G126" s="5">
        <v>40</v>
      </c>
      <c r="H126" s="5">
        <v>32</v>
      </c>
      <c r="I126" s="6">
        <v>0</v>
      </c>
      <c r="J126" s="6">
        <v>0</v>
      </c>
      <c r="K126" s="7">
        <v>0</v>
      </c>
      <c r="L126" s="8">
        <v>0</v>
      </c>
    </row>
    <row r="127" spans="2:12" x14ac:dyDescent="0.3">
      <c r="B127" s="116">
        <v>124</v>
      </c>
      <c r="C127" s="4" t="s">
        <v>300</v>
      </c>
      <c r="D127" s="4" t="s">
        <v>209</v>
      </c>
      <c r="E127" s="5">
        <v>47</v>
      </c>
      <c r="F127" s="5">
        <v>33</v>
      </c>
      <c r="G127" s="5">
        <v>22</v>
      </c>
      <c r="H127" s="5">
        <v>17</v>
      </c>
      <c r="I127" s="6">
        <v>0</v>
      </c>
      <c r="J127" s="6">
        <v>0</v>
      </c>
      <c r="K127" s="7">
        <v>0</v>
      </c>
      <c r="L127" s="8">
        <v>0</v>
      </c>
    </row>
    <row r="128" spans="2:12" x14ac:dyDescent="0.3">
      <c r="B128" s="116">
        <v>125</v>
      </c>
      <c r="C128" s="4" t="s">
        <v>301</v>
      </c>
      <c r="D128" s="4" t="s">
        <v>209</v>
      </c>
      <c r="E128" s="5">
        <v>77</v>
      </c>
      <c r="F128" s="5">
        <v>57</v>
      </c>
      <c r="G128" s="5">
        <v>40</v>
      </c>
      <c r="H128" s="5">
        <v>32</v>
      </c>
      <c r="I128" s="6">
        <v>0</v>
      </c>
      <c r="J128" s="6">
        <v>0</v>
      </c>
      <c r="K128" s="7">
        <v>0</v>
      </c>
      <c r="L128" s="8">
        <v>0</v>
      </c>
    </row>
    <row r="129" spans="2:12" x14ac:dyDescent="0.3">
      <c r="B129" s="116">
        <v>126</v>
      </c>
      <c r="C129" s="4" t="s">
        <v>302</v>
      </c>
      <c r="D129" s="4" t="s">
        <v>209</v>
      </c>
      <c r="E129" s="5">
        <v>47</v>
      </c>
      <c r="F129" s="5">
        <v>33</v>
      </c>
      <c r="G129" s="5">
        <v>22</v>
      </c>
      <c r="H129" s="5">
        <v>17</v>
      </c>
      <c r="I129" s="6">
        <v>0</v>
      </c>
      <c r="J129" s="6">
        <v>0</v>
      </c>
      <c r="K129" s="7">
        <v>0</v>
      </c>
      <c r="L129" s="8">
        <v>0</v>
      </c>
    </row>
    <row r="130" spans="2:12" x14ac:dyDescent="0.3">
      <c r="B130" s="116">
        <v>127</v>
      </c>
      <c r="C130" s="4" t="s">
        <v>94</v>
      </c>
      <c r="D130" s="4" t="s">
        <v>209</v>
      </c>
      <c r="E130" s="5">
        <v>47</v>
      </c>
      <c r="F130" s="5">
        <v>33</v>
      </c>
      <c r="G130" s="5">
        <v>22</v>
      </c>
      <c r="H130" s="5">
        <v>17</v>
      </c>
      <c r="I130" s="6">
        <v>0</v>
      </c>
      <c r="J130" s="6">
        <v>0</v>
      </c>
      <c r="K130" s="7">
        <v>0</v>
      </c>
      <c r="L130" s="8">
        <v>0</v>
      </c>
    </row>
    <row r="131" spans="2:12" x14ac:dyDescent="0.3">
      <c r="B131" s="116">
        <v>128</v>
      </c>
      <c r="C131" s="4" t="s">
        <v>95</v>
      </c>
      <c r="D131" s="4" t="s">
        <v>209</v>
      </c>
      <c r="E131" s="5">
        <v>47</v>
      </c>
      <c r="F131" s="5">
        <v>33</v>
      </c>
      <c r="G131" s="5">
        <v>22</v>
      </c>
      <c r="H131" s="5">
        <v>17</v>
      </c>
      <c r="I131" s="6">
        <v>0</v>
      </c>
      <c r="J131" s="6">
        <v>0</v>
      </c>
      <c r="K131" s="7">
        <v>0</v>
      </c>
      <c r="L131" s="8">
        <v>0</v>
      </c>
    </row>
    <row r="132" spans="2:12" x14ac:dyDescent="0.3">
      <c r="B132" s="116">
        <v>129</v>
      </c>
      <c r="C132" s="4" t="s">
        <v>303</v>
      </c>
      <c r="D132" s="4" t="s">
        <v>209</v>
      </c>
      <c r="E132" s="5">
        <v>47</v>
      </c>
      <c r="F132" s="5">
        <v>33</v>
      </c>
      <c r="G132" s="5">
        <v>22</v>
      </c>
      <c r="H132" s="5">
        <v>17</v>
      </c>
      <c r="I132" s="6">
        <v>0</v>
      </c>
      <c r="J132" s="6">
        <v>0</v>
      </c>
      <c r="K132" s="7">
        <v>0</v>
      </c>
      <c r="L132" s="8">
        <v>0</v>
      </c>
    </row>
    <row r="133" spans="2:12" x14ac:dyDescent="0.3">
      <c r="B133" s="116">
        <v>130</v>
      </c>
      <c r="C133" s="4" t="s">
        <v>304</v>
      </c>
      <c r="D133" s="4" t="s">
        <v>209</v>
      </c>
      <c r="E133" s="5">
        <v>108</v>
      </c>
      <c r="F133" s="5">
        <v>80</v>
      </c>
      <c r="G133" s="5">
        <v>57</v>
      </c>
      <c r="H133" s="5">
        <v>45</v>
      </c>
      <c r="I133" s="6">
        <v>0</v>
      </c>
      <c r="J133" s="6">
        <v>0</v>
      </c>
      <c r="K133" s="7">
        <v>0</v>
      </c>
      <c r="L133" s="8">
        <v>0</v>
      </c>
    </row>
    <row r="134" spans="2:12" x14ac:dyDescent="0.3">
      <c r="B134" s="116">
        <v>131</v>
      </c>
      <c r="C134" s="4" t="s">
        <v>305</v>
      </c>
      <c r="D134" s="4" t="s">
        <v>209</v>
      </c>
      <c r="E134" s="5">
        <v>47</v>
      </c>
      <c r="F134" s="5">
        <v>33</v>
      </c>
      <c r="G134" s="5">
        <v>22</v>
      </c>
      <c r="H134" s="5">
        <v>17</v>
      </c>
      <c r="I134" s="6">
        <v>0</v>
      </c>
      <c r="J134" s="6">
        <v>0</v>
      </c>
      <c r="K134" s="7">
        <v>0</v>
      </c>
      <c r="L134" s="8">
        <v>0</v>
      </c>
    </row>
    <row r="135" spans="2:12" x14ac:dyDescent="0.3">
      <c r="B135" s="116">
        <v>132</v>
      </c>
      <c r="C135" s="4" t="s">
        <v>96</v>
      </c>
      <c r="D135" s="4" t="s">
        <v>209</v>
      </c>
      <c r="E135" s="5">
        <v>47</v>
      </c>
      <c r="F135" s="5">
        <v>33</v>
      </c>
      <c r="G135" s="5">
        <v>22</v>
      </c>
      <c r="H135" s="5">
        <v>17</v>
      </c>
      <c r="I135" s="6">
        <v>0</v>
      </c>
      <c r="J135" s="6">
        <v>0</v>
      </c>
      <c r="K135" s="7">
        <v>0</v>
      </c>
      <c r="L135" s="8">
        <v>0</v>
      </c>
    </row>
    <row r="136" spans="2:12" x14ac:dyDescent="0.3">
      <c r="B136" s="116">
        <v>133</v>
      </c>
      <c r="C136" s="4" t="s">
        <v>306</v>
      </c>
      <c r="D136" s="4" t="s">
        <v>209</v>
      </c>
      <c r="E136" s="5">
        <v>47</v>
      </c>
      <c r="F136" s="5">
        <v>33</v>
      </c>
      <c r="G136" s="5">
        <v>22</v>
      </c>
      <c r="H136" s="5">
        <v>17</v>
      </c>
      <c r="I136" s="6">
        <v>0</v>
      </c>
      <c r="J136" s="6">
        <v>0</v>
      </c>
      <c r="K136" s="7">
        <v>0</v>
      </c>
      <c r="L136" s="8">
        <v>0</v>
      </c>
    </row>
    <row r="137" spans="2:12" x14ac:dyDescent="0.3">
      <c r="B137" s="116">
        <v>134</v>
      </c>
      <c r="C137" s="4" t="s">
        <v>173</v>
      </c>
      <c r="D137" s="4" t="s">
        <v>209</v>
      </c>
      <c r="E137" s="5">
        <v>77</v>
      </c>
      <c r="F137" s="5">
        <v>57</v>
      </c>
      <c r="G137" s="5">
        <v>40</v>
      </c>
      <c r="H137" s="5">
        <v>32</v>
      </c>
      <c r="I137" s="6">
        <v>750</v>
      </c>
      <c r="J137" s="6">
        <v>650</v>
      </c>
      <c r="K137" s="7">
        <v>100</v>
      </c>
      <c r="L137" s="8">
        <v>160</v>
      </c>
    </row>
    <row r="138" spans="2:12" x14ac:dyDescent="0.3">
      <c r="B138" s="116">
        <v>135</v>
      </c>
      <c r="C138" s="4" t="s">
        <v>97</v>
      </c>
      <c r="D138" s="4" t="s">
        <v>209</v>
      </c>
      <c r="E138" s="5">
        <v>77</v>
      </c>
      <c r="F138" s="5">
        <v>57</v>
      </c>
      <c r="G138" s="5">
        <v>40</v>
      </c>
      <c r="H138" s="5">
        <v>32</v>
      </c>
      <c r="I138" s="6">
        <v>0</v>
      </c>
      <c r="J138" s="6">
        <v>0</v>
      </c>
      <c r="K138" s="7">
        <v>0</v>
      </c>
      <c r="L138" s="8">
        <v>0</v>
      </c>
    </row>
    <row r="139" spans="2:12" x14ac:dyDescent="0.3">
      <c r="B139" s="116">
        <v>136</v>
      </c>
      <c r="C139" s="4" t="s">
        <v>307</v>
      </c>
      <c r="D139" s="4" t="s">
        <v>209</v>
      </c>
      <c r="E139" s="5">
        <v>77</v>
      </c>
      <c r="F139" s="5">
        <v>57</v>
      </c>
      <c r="G139" s="5">
        <v>40</v>
      </c>
      <c r="H139" s="5">
        <v>32</v>
      </c>
      <c r="I139" s="6">
        <v>0</v>
      </c>
      <c r="J139" s="6">
        <v>0</v>
      </c>
      <c r="K139" s="7">
        <v>0</v>
      </c>
      <c r="L139" s="8">
        <v>0</v>
      </c>
    </row>
    <row r="140" spans="2:12" x14ac:dyDescent="0.3">
      <c r="B140" s="116">
        <v>137</v>
      </c>
      <c r="C140" s="4" t="s">
        <v>98</v>
      </c>
      <c r="D140" s="4" t="s">
        <v>209</v>
      </c>
      <c r="E140" s="5">
        <v>77</v>
      </c>
      <c r="F140" s="5">
        <v>57</v>
      </c>
      <c r="G140" s="5">
        <v>40</v>
      </c>
      <c r="H140" s="5">
        <v>32</v>
      </c>
      <c r="I140" s="6">
        <v>0</v>
      </c>
      <c r="J140" s="6">
        <v>0</v>
      </c>
      <c r="K140" s="7">
        <v>0</v>
      </c>
      <c r="L140" s="8">
        <v>0</v>
      </c>
    </row>
    <row r="141" spans="2:12" x14ac:dyDescent="0.3">
      <c r="B141" s="116">
        <v>138</v>
      </c>
      <c r="C141" s="4" t="s">
        <v>139</v>
      </c>
      <c r="D141" s="4" t="s">
        <v>209</v>
      </c>
      <c r="E141" s="5">
        <v>108</v>
      </c>
      <c r="F141" s="5">
        <v>80</v>
      </c>
      <c r="G141" s="5">
        <v>57</v>
      </c>
      <c r="H141" s="5">
        <v>45</v>
      </c>
      <c r="I141" s="6">
        <v>0</v>
      </c>
      <c r="J141" s="6">
        <v>0</v>
      </c>
      <c r="K141" s="7">
        <v>0</v>
      </c>
      <c r="L141" s="8">
        <v>0</v>
      </c>
    </row>
    <row r="142" spans="2:12" x14ac:dyDescent="0.3">
      <c r="B142" s="116">
        <v>139</v>
      </c>
      <c r="C142" s="4" t="s">
        <v>99</v>
      </c>
      <c r="D142" s="4" t="s">
        <v>209</v>
      </c>
      <c r="E142" s="5">
        <v>47</v>
      </c>
      <c r="F142" s="5">
        <v>33</v>
      </c>
      <c r="G142" s="5">
        <v>22</v>
      </c>
      <c r="H142" s="5">
        <v>17</v>
      </c>
      <c r="I142" s="6">
        <v>0</v>
      </c>
      <c r="J142" s="6">
        <v>0</v>
      </c>
      <c r="K142" s="7">
        <v>0</v>
      </c>
      <c r="L142" s="8">
        <v>0</v>
      </c>
    </row>
    <row r="143" spans="2:12" x14ac:dyDescent="0.3">
      <c r="B143" s="116">
        <v>140</v>
      </c>
      <c r="C143" s="4" t="s">
        <v>187</v>
      </c>
      <c r="D143" s="4" t="s">
        <v>209</v>
      </c>
      <c r="E143" s="5">
        <v>77</v>
      </c>
      <c r="F143" s="5">
        <v>57</v>
      </c>
      <c r="G143" s="5">
        <v>40</v>
      </c>
      <c r="H143" s="5">
        <v>32</v>
      </c>
      <c r="I143" s="6">
        <v>0</v>
      </c>
      <c r="J143" s="6">
        <v>0</v>
      </c>
      <c r="K143" s="7">
        <v>0</v>
      </c>
      <c r="L143" s="8">
        <v>0</v>
      </c>
    </row>
    <row r="144" spans="2:12" x14ac:dyDescent="0.3">
      <c r="B144" s="116">
        <v>141</v>
      </c>
      <c r="C144" s="4" t="s">
        <v>308</v>
      </c>
      <c r="D144" s="4" t="s">
        <v>209</v>
      </c>
      <c r="E144" s="5">
        <v>47</v>
      </c>
      <c r="F144" s="5">
        <v>33</v>
      </c>
      <c r="G144" s="5">
        <v>22</v>
      </c>
      <c r="H144" s="5">
        <v>17</v>
      </c>
      <c r="I144" s="6">
        <v>0</v>
      </c>
      <c r="J144" s="6">
        <v>0</v>
      </c>
      <c r="K144" s="7">
        <v>0</v>
      </c>
      <c r="L144" s="8">
        <v>0</v>
      </c>
    </row>
    <row r="145" spans="2:12" x14ac:dyDescent="0.3">
      <c r="B145" s="116">
        <v>142</v>
      </c>
      <c r="C145" s="4" t="s">
        <v>309</v>
      </c>
      <c r="D145" s="4" t="s">
        <v>209</v>
      </c>
      <c r="E145" s="5">
        <v>108</v>
      </c>
      <c r="F145" s="5">
        <v>80</v>
      </c>
      <c r="G145" s="5">
        <v>57</v>
      </c>
      <c r="H145" s="5">
        <v>45</v>
      </c>
      <c r="I145" s="6">
        <v>0</v>
      </c>
      <c r="J145" s="6">
        <v>0</v>
      </c>
      <c r="K145" s="7">
        <v>0</v>
      </c>
      <c r="L145" s="8">
        <v>0</v>
      </c>
    </row>
    <row r="146" spans="2:12" x14ac:dyDescent="0.3">
      <c r="B146" s="116">
        <v>143</v>
      </c>
      <c r="C146" s="4" t="s">
        <v>365</v>
      </c>
      <c r="D146" s="4" t="s">
        <v>209</v>
      </c>
      <c r="E146" s="5">
        <v>108</v>
      </c>
      <c r="F146" s="5">
        <v>80</v>
      </c>
      <c r="G146" s="5">
        <v>57</v>
      </c>
      <c r="H146" s="5">
        <v>45</v>
      </c>
      <c r="I146" s="6">
        <v>0</v>
      </c>
      <c r="J146" s="6">
        <v>0</v>
      </c>
      <c r="K146" s="7">
        <v>0</v>
      </c>
      <c r="L146" s="8">
        <v>0</v>
      </c>
    </row>
    <row r="147" spans="2:12" x14ac:dyDescent="0.3">
      <c r="B147" s="116">
        <v>144</v>
      </c>
      <c r="C147" s="4" t="s">
        <v>310</v>
      </c>
      <c r="D147" s="4" t="s">
        <v>209</v>
      </c>
      <c r="E147" s="5">
        <v>108</v>
      </c>
      <c r="F147" s="5">
        <v>80</v>
      </c>
      <c r="G147" s="5">
        <v>57</v>
      </c>
      <c r="H147" s="5">
        <v>45</v>
      </c>
      <c r="I147" s="6">
        <v>0</v>
      </c>
      <c r="J147" s="6">
        <v>0</v>
      </c>
      <c r="K147" s="7">
        <v>0</v>
      </c>
      <c r="L147" s="8">
        <v>0</v>
      </c>
    </row>
    <row r="148" spans="2:12" x14ac:dyDescent="0.3">
      <c r="B148" s="116">
        <v>145</v>
      </c>
      <c r="C148" s="4" t="s">
        <v>311</v>
      </c>
      <c r="D148" s="4" t="s">
        <v>209</v>
      </c>
      <c r="E148" s="5">
        <v>47</v>
      </c>
      <c r="F148" s="5">
        <v>33</v>
      </c>
      <c r="G148" s="5">
        <v>22</v>
      </c>
      <c r="H148" s="5">
        <v>17</v>
      </c>
      <c r="I148" s="6">
        <v>0</v>
      </c>
      <c r="J148" s="6">
        <v>0</v>
      </c>
      <c r="K148" s="7">
        <v>0</v>
      </c>
      <c r="L148" s="8">
        <v>0</v>
      </c>
    </row>
    <row r="149" spans="2:12" x14ac:dyDescent="0.3">
      <c r="B149" s="116">
        <v>146</v>
      </c>
      <c r="C149" s="4" t="s">
        <v>312</v>
      </c>
      <c r="D149" s="4" t="s">
        <v>209</v>
      </c>
      <c r="E149" s="5">
        <v>108</v>
      </c>
      <c r="F149" s="5">
        <v>80</v>
      </c>
      <c r="G149" s="5">
        <v>57</v>
      </c>
      <c r="H149" s="5">
        <v>45</v>
      </c>
      <c r="I149" s="6">
        <v>0</v>
      </c>
      <c r="J149" s="6">
        <v>0</v>
      </c>
      <c r="K149" s="7">
        <v>0</v>
      </c>
      <c r="L149" s="8">
        <v>0</v>
      </c>
    </row>
    <row r="150" spans="2:12" x14ac:dyDescent="0.3">
      <c r="B150" s="116">
        <v>147</v>
      </c>
      <c r="C150" s="4" t="s">
        <v>313</v>
      </c>
      <c r="D150" s="4" t="s">
        <v>209</v>
      </c>
      <c r="E150" s="5">
        <v>77</v>
      </c>
      <c r="F150" s="5">
        <v>57</v>
      </c>
      <c r="G150" s="5">
        <v>40</v>
      </c>
      <c r="H150" s="5">
        <v>32</v>
      </c>
      <c r="I150" s="6">
        <v>0</v>
      </c>
      <c r="J150" s="6">
        <v>0</v>
      </c>
      <c r="K150" s="7">
        <v>0</v>
      </c>
      <c r="L150" s="8">
        <v>0</v>
      </c>
    </row>
    <row r="151" spans="2:12" x14ac:dyDescent="0.3">
      <c r="B151" s="116">
        <v>148</v>
      </c>
      <c r="C151" s="4" t="s">
        <v>100</v>
      </c>
      <c r="D151" s="4" t="s">
        <v>209</v>
      </c>
      <c r="E151" s="5">
        <v>108</v>
      </c>
      <c r="F151" s="5">
        <v>80</v>
      </c>
      <c r="G151" s="5">
        <v>57</v>
      </c>
      <c r="H151" s="5">
        <v>45</v>
      </c>
      <c r="I151" s="6">
        <v>750</v>
      </c>
      <c r="J151" s="6">
        <v>650</v>
      </c>
      <c r="K151" s="7">
        <v>100</v>
      </c>
      <c r="L151" s="8">
        <v>160</v>
      </c>
    </row>
    <row r="152" spans="2:12" x14ac:dyDescent="0.3">
      <c r="B152" s="116">
        <v>149</v>
      </c>
      <c r="C152" s="4" t="s">
        <v>314</v>
      </c>
      <c r="D152" s="4" t="s">
        <v>209</v>
      </c>
      <c r="E152" s="5">
        <v>108</v>
      </c>
      <c r="F152" s="5">
        <v>80</v>
      </c>
      <c r="G152" s="5">
        <v>57</v>
      </c>
      <c r="H152" s="5">
        <v>45</v>
      </c>
      <c r="I152" s="6">
        <v>0</v>
      </c>
      <c r="J152" s="6">
        <v>0</v>
      </c>
      <c r="K152" s="7">
        <v>0</v>
      </c>
      <c r="L152" s="8">
        <v>0</v>
      </c>
    </row>
    <row r="153" spans="2:12" x14ac:dyDescent="0.3">
      <c r="B153" s="116">
        <v>150</v>
      </c>
      <c r="C153" s="4" t="s">
        <v>315</v>
      </c>
      <c r="D153" s="4" t="s">
        <v>209</v>
      </c>
      <c r="E153" s="5">
        <v>47</v>
      </c>
      <c r="F153" s="5">
        <v>33</v>
      </c>
      <c r="G153" s="5">
        <v>22</v>
      </c>
      <c r="H153" s="5">
        <v>17</v>
      </c>
      <c r="I153" s="6">
        <v>0</v>
      </c>
      <c r="J153" s="6">
        <v>0</v>
      </c>
      <c r="K153" s="7">
        <v>0</v>
      </c>
      <c r="L153" s="8">
        <v>0</v>
      </c>
    </row>
    <row r="154" spans="2:12" x14ac:dyDescent="0.3">
      <c r="B154" s="116">
        <v>151</v>
      </c>
      <c r="C154" s="4" t="s">
        <v>375</v>
      </c>
      <c r="D154" s="4" t="s">
        <v>209</v>
      </c>
      <c r="E154" s="5">
        <v>47</v>
      </c>
      <c r="F154" s="5">
        <v>33</v>
      </c>
      <c r="G154" s="5">
        <v>22</v>
      </c>
      <c r="H154" s="5">
        <v>17</v>
      </c>
      <c r="I154" s="6">
        <v>0</v>
      </c>
      <c r="J154" s="6">
        <v>0</v>
      </c>
      <c r="K154" s="7">
        <v>0</v>
      </c>
      <c r="L154" s="8">
        <v>0</v>
      </c>
    </row>
    <row r="155" spans="2:12" x14ac:dyDescent="0.3">
      <c r="B155" s="116">
        <v>152</v>
      </c>
      <c r="C155" s="4" t="s">
        <v>316</v>
      </c>
      <c r="D155" s="4" t="s">
        <v>209</v>
      </c>
      <c r="E155" s="5">
        <v>47</v>
      </c>
      <c r="F155" s="5">
        <v>33</v>
      </c>
      <c r="G155" s="5">
        <v>22</v>
      </c>
      <c r="H155" s="5">
        <v>17</v>
      </c>
      <c r="I155" s="6">
        <v>0</v>
      </c>
      <c r="J155" s="6">
        <v>0</v>
      </c>
      <c r="K155" s="7">
        <v>0</v>
      </c>
      <c r="L155" s="8">
        <v>0</v>
      </c>
    </row>
    <row r="156" spans="2:12" x14ac:dyDescent="0.3">
      <c r="B156" s="116">
        <v>153</v>
      </c>
      <c r="C156" s="4" t="s">
        <v>101</v>
      </c>
      <c r="D156" s="4" t="s">
        <v>209</v>
      </c>
      <c r="E156" s="5">
        <v>77</v>
      </c>
      <c r="F156" s="5">
        <v>57</v>
      </c>
      <c r="G156" s="5">
        <v>40</v>
      </c>
      <c r="H156" s="5">
        <v>32</v>
      </c>
      <c r="I156" s="6">
        <v>0</v>
      </c>
      <c r="J156" s="6">
        <v>0</v>
      </c>
      <c r="K156" s="7">
        <v>0</v>
      </c>
      <c r="L156" s="8">
        <v>0</v>
      </c>
    </row>
    <row r="157" spans="2:12" x14ac:dyDescent="0.3">
      <c r="B157" s="116">
        <v>154</v>
      </c>
      <c r="C157" s="4" t="s">
        <v>317</v>
      </c>
      <c r="D157" s="4" t="s">
        <v>209</v>
      </c>
      <c r="E157" s="5">
        <v>47</v>
      </c>
      <c r="F157" s="5">
        <v>33</v>
      </c>
      <c r="G157" s="5">
        <v>22</v>
      </c>
      <c r="H157" s="5">
        <v>17</v>
      </c>
      <c r="I157" s="6">
        <v>0</v>
      </c>
      <c r="J157" s="6">
        <v>0</v>
      </c>
      <c r="K157" s="7">
        <v>0</v>
      </c>
      <c r="L157" s="8">
        <v>0</v>
      </c>
    </row>
    <row r="158" spans="2:12" x14ac:dyDescent="0.3">
      <c r="B158" s="116">
        <v>155</v>
      </c>
      <c r="C158" s="4" t="s">
        <v>351</v>
      </c>
      <c r="D158" s="4" t="s">
        <v>209</v>
      </c>
      <c r="E158" s="5">
        <v>47</v>
      </c>
      <c r="F158" s="5">
        <v>33</v>
      </c>
      <c r="G158" s="5">
        <v>22</v>
      </c>
      <c r="H158" s="5">
        <v>17</v>
      </c>
      <c r="I158" s="6">
        <v>0</v>
      </c>
      <c r="J158" s="6">
        <v>0</v>
      </c>
      <c r="K158" s="7">
        <v>0</v>
      </c>
      <c r="L158" s="8">
        <v>0</v>
      </c>
    </row>
    <row r="159" spans="2:12" x14ac:dyDescent="0.3">
      <c r="B159" s="116">
        <v>156</v>
      </c>
      <c r="C159" s="4" t="s">
        <v>318</v>
      </c>
      <c r="D159" s="4" t="s">
        <v>209</v>
      </c>
      <c r="E159" s="5">
        <v>47</v>
      </c>
      <c r="F159" s="5">
        <v>33</v>
      </c>
      <c r="G159" s="5">
        <v>22</v>
      </c>
      <c r="H159" s="5">
        <v>17</v>
      </c>
      <c r="I159" s="6">
        <v>0</v>
      </c>
      <c r="J159" s="6">
        <v>0</v>
      </c>
      <c r="K159" s="7">
        <v>0</v>
      </c>
      <c r="L159" s="8">
        <v>0</v>
      </c>
    </row>
    <row r="160" spans="2:12" x14ac:dyDescent="0.3">
      <c r="B160" s="116">
        <v>157</v>
      </c>
      <c r="C160" s="4" t="s">
        <v>376</v>
      </c>
      <c r="D160" s="4" t="s">
        <v>209</v>
      </c>
      <c r="E160" s="5">
        <v>77</v>
      </c>
      <c r="F160" s="5">
        <v>57</v>
      </c>
      <c r="G160" s="5">
        <v>40</v>
      </c>
      <c r="H160" s="5">
        <v>32</v>
      </c>
      <c r="I160" s="6">
        <v>0</v>
      </c>
      <c r="J160" s="6">
        <v>0</v>
      </c>
      <c r="K160" s="7">
        <v>0</v>
      </c>
      <c r="L160" s="8">
        <v>0</v>
      </c>
    </row>
    <row r="161" spans="2:12" x14ac:dyDescent="0.3">
      <c r="B161" s="116">
        <v>158</v>
      </c>
      <c r="C161" s="4" t="s">
        <v>319</v>
      </c>
      <c r="D161" s="4" t="s">
        <v>209</v>
      </c>
      <c r="E161" s="5">
        <v>77</v>
      </c>
      <c r="F161" s="5">
        <v>57</v>
      </c>
      <c r="G161" s="5">
        <v>40</v>
      </c>
      <c r="H161" s="5">
        <v>32</v>
      </c>
      <c r="I161" s="6">
        <v>0</v>
      </c>
      <c r="J161" s="6">
        <v>0</v>
      </c>
      <c r="K161" s="7">
        <v>0</v>
      </c>
      <c r="L161" s="8">
        <v>0</v>
      </c>
    </row>
    <row r="162" spans="2:12" x14ac:dyDescent="0.3">
      <c r="B162" s="116">
        <v>159</v>
      </c>
      <c r="C162" s="4" t="s">
        <v>102</v>
      </c>
      <c r="D162" s="4" t="s">
        <v>209</v>
      </c>
      <c r="E162" s="5">
        <v>47</v>
      </c>
      <c r="F162" s="5">
        <v>33</v>
      </c>
      <c r="G162" s="5">
        <v>22</v>
      </c>
      <c r="H162" s="5">
        <v>17</v>
      </c>
      <c r="I162" s="6">
        <v>750</v>
      </c>
      <c r="J162" s="6">
        <v>650</v>
      </c>
      <c r="K162" s="7">
        <v>100</v>
      </c>
      <c r="L162" s="8">
        <v>160</v>
      </c>
    </row>
    <row r="163" spans="2:12" x14ac:dyDescent="0.3">
      <c r="B163" s="116">
        <v>160</v>
      </c>
      <c r="C163" s="4" t="s">
        <v>103</v>
      </c>
      <c r="D163" s="4" t="s">
        <v>209</v>
      </c>
      <c r="E163" s="5">
        <v>47</v>
      </c>
      <c r="F163" s="5">
        <v>33</v>
      </c>
      <c r="G163" s="5">
        <v>22</v>
      </c>
      <c r="H163" s="5">
        <v>17</v>
      </c>
      <c r="I163" s="6">
        <v>0</v>
      </c>
      <c r="J163" s="6">
        <v>0</v>
      </c>
      <c r="K163" s="7">
        <v>0</v>
      </c>
      <c r="L163" s="8">
        <v>0</v>
      </c>
    </row>
    <row r="164" spans="2:12" x14ac:dyDescent="0.3">
      <c r="B164" s="116">
        <v>161</v>
      </c>
      <c r="C164" s="4" t="s">
        <v>320</v>
      </c>
      <c r="D164" s="4" t="s">
        <v>209</v>
      </c>
      <c r="E164" s="5">
        <v>47</v>
      </c>
      <c r="F164" s="5">
        <v>33</v>
      </c>
      <c r="G164" s="5">
        <v>22</v>
      </c>
      <c r="H164" s="5">
        <v>17</v>
      </c>
      <c r="I164" s="6">
        <v>0</v>
      </c>
      <c r="J164" s="6">
        <v>0</v>
      </c>
      <c r="K164" s="7">
        <v>0</v>
      </c>
      <c r="L164" s="8">
        <v>0</v>
      </c>
    </row>
    <row r="165" spans="2:12" x14ac:dyDescent="0.3">
      <c r="B165" s="116">
        <v>162</v>
      </c>
      <c r="C165" s="4" t="s">
        <v>104</v>
      </c>
      <c r="D165" s="4" t="s">
        <v>209</v>
      </c>
      <c r="E165" s="5">
        <v>108</v>
      </c>
      <c r="F165" s="5">
        <v>80</v>
      </c>
      <c r="G165" s="5">
        <v>57</v>
      </c>
      <c r="H165" s="5">
        <v>45</v>
      </c>
      <c r="I165" s="6">
        <v>0</v>
      </c>
      <c r="J165" s="6">
        <v>0</v>
      </c>
      <c r="K165" s="7">
        <v>0</v>
      </c>
      <c r="L165" s="8">
        <v>0</v>
      </c>
    </row>
    <row r="166" spans="2:12" x14ac:dyDescent="0.3">
      <c r="B166" s="116">
        <v>163</v>
      </c>
      <c r="C166" s="4" t="s">
        <v>380</v>
      </c>
      <c r="D166" s="4" t="s">
        <v>209</v>
      </c>
      <c r="E166" s="5">
        <v>47</v>
      </c>
      <c r="F166" s="5">
        <v>33</v>
      </c>
      <c r="G166" s="5">
        <v>22</v>
      </c>
      <c r="H166" s="5">
        <v>17</v>
      </c>
      <c r="I166" s="6">
        <v>0</v>
      </c>
      <c r="J166" s="6">
        <v>0</v>
      </c>
      <c r="K166" s="7">
        <v>0</v>
      </c>
      <c r="L166" s="8">
        <v>0</v>
      </c>
    </row>
    <row r="167" spans="2:12" x14ac:dyDescent="0.3">
      <c r="B167" s="116">
        <v>164</v>
      </c>
      <c r="C167" s="4" t="s">
        <v>321</v>
      </c>
      <c r="D167" s="4" t="s">
        <v>209</v>
      </c>
      <c r="E167" s="5">
        <v>47</v>
      </c>
      <c r="F167" s="5">
        <v>33</v>
      </c>
      <c r="G167" s="5">
        <v>22</v>
      </c>
      <c r="H167" s="5">
        <v>17</v>
      </c>
      <c r="I167" s="6">
        <v>0</v>
      </c>
      <c r="J167" s="6">
        <v>0</v>
      </c>
      <c r="K167" s="7">
        <v>0</v>
      </c>
      <c r="L167" s="8">
        <v>0</v>
      </c>
    </row>
    <row r="168" spans="2:12" x14ac:dyDescent="0.3">
      <c r="B168" s="116">
        <v>165</v>
      </c>
      <c r="C168" s="4" t="s">
        <v>322</v>
      </c>
      <c r="D168" s="4" t="s">
        <v>209</v>
      </c>
      <c r="E168" s="5">
        <v>47</v>
      </c>
      <c r="F168" s="5">
        <v>33</v>
      </c>
      <c r="G168" s="5">
        <v>22</v>
      </c>
      <c r="H168" s="5">
        <v>17</v>
      </c>
      <c r="I168" s="6">
        <v>0</v>
      </c>
      <c r="J168" s="6">
        <v>0</v>
      </c>
      <c r="K168" s="7">
        <v>0</v>
      </c>
      <c r="L168" s="8">
        <v>0</v>
      </c>
    </row>
    <row r="169" spans="2:12" x14ac:dyDescent="0.3">
      <c r="B169" s="116">
        <v>166</v>
      </c>
      <c r="C169" s="4" t="s">
        <v>323</v>
      </c>
      <c r="D169" s="4" t="s">
        <v>209</v>
      </c>
      <c r="E169" s="5">
        <v>77</v>
      </c>
      <c r="F169" s="5">
        <v>57</v>
      </c>
      <c r="G169" s="5">
        <v>40</v>
      </c>
      <c r="H169" s="5">
        <v>32</v>
      </c>
      <c r="I169" s="6">
        <v>0</v>
      </c>
      <c r="J169" s="6">
        <v>0</v>
      </c>
      <c r="K169" s="7">
        <v>0</v>
      </c>
      <c r="L169" s="8">
        <v>0</v>
      </c>
    </row>
    <row r="170" spans="2:12" x14ac:dyDescent="0.3">
      <c r="B170" s="116">
        <v>167</v>
      </c>
      <c r="C170" s="4" t="s">
        <v>105</v>
      </c>
      <c r="D170" s="4" t="s">
        <v>209</v>
      </c>
      <c r="E170" s="5">
        <v>47</v>
      </c>
      <c r="F170" s="5">
        <v>33</v>
      </c>
      <c r="G170" s="5">
        <v>22</v>
      </c>
      <c r="H170" s="5">
        <v>17</v>
      </c>
      <c r="I170" s="6">
        <v>750</v>
      </c>
      <c r="J170" s="6">
        <v>650</v>
      </c>
      <c r="K170" s="7">
        <v>100</v>
      </c>
      <c r="L170" s="8">
        <v>160</v>
      </c>
    </row>
    <row r="171" spans="2:12" x14ac:dyDescent="0.3">
      <c r="B171" s="116">
        <v>168</v>
      </c>
      <c r="C171" s="4" t="s">
        <v>106</v>
      </c>
      <c r="D171" s="4" t="s">
        <v>209</v>
      </c>
      <c r="E171" s="5">
        <v>47</v>
      </c>
      <c r="F171" s="5">
        <v>33</v>
      </c>
      <c r="G171" s="5">
        <v>22</v>
      </c>
      <c r="H171" s="5">
        <v>17</v>
      </c>
      <c r="I171" s="6">
        <v>0</v>
      </c>
      <c r="J171" s="6">
        <v>0</v>
      </c>
      <c r="K171" s="7">
        <v>0</v>
      </c>
      <c r="L171" s="8">
        <v>0</v>
      </c>
    </row>
    <row r="172" spans="2:12" x14ac:dyDescent="0.3">
      <c r="B172" s="116">
        <v>169</v>
      </c>
      <c r="C172" s="4" t="s">
        <v>324</v>
      </c>
      <c r="D172" s="4" t="s">
        <v>209</v>
      </c>
      <c r="E172" s="5">
        <v>47</v>
      </c>
      <c r="F172" s="5">
        <v>33</v>
      </c>
      <c r="G172" s="5">
        <v>22</v>
      </c>
      <c r="H172" s="5">
        <v>17</v>
      </c>
      <c r="I172" s="6">
        <v>0</v>
      </c>
      <c r="J172" s="6">
        <v>0</v>
      </c>
      <c r="K172" s="7">
        <v>0</v>
      </c>
      <c r="L172" s="8">
        <v>0</v>
      </c>
    </row>
    <row r="173" spans="2:12" x14ac:dyDescent="0.3">
      <c r="B173" s="116">
        <v>170</v>
      </c>
      <c r="C173" s="4" t="s">
        <v>325</v>
      </c>
      <c r="D173" s="4" t="s">
        <v>209</v>
      </c>
      <c r="E173" s="5">
        <v>47</v>
      </c>
      <c r="F173" s="5">
        <v>33</v>
      </c>
      <c r="G173" s="5">
        <v>22</v>
      </c>
      <c r="H173" s="5">
        <v>17</v>
      </c>
      <c r="I173" s="6">
        <v>0</v>
      </c>
      <c r="J173" s="6">
        <v>0</v>
      </c>
      <c r="K173" s="7">
        <v>0</v>
      </c>
      <c r="L173" s="8">
        <v>0</v>
      </c>
    </row>
    <row r="174" spans="2:12" x14ac:dyDescent="0.3">
      <c r="B174" s="116">
        <v>171</v>
      </c>
      <c r="C174" s="4" t="s">
        <v>186</v>
      </c>
      <c r="D174" s="4" t="s">
        <v>209</v>
      </c>
      <c r="E174" s="5">
        <v>108</v>
      </c>
      <c r="F174" s="5">
        <v>80</v>
      </c>
      <c r="G174" s="5">
        <v>57</v>
      </c>
      <c r="H174" s="5">
        <v>45</v>
      </c>
      <c r="I174" s="6">
        <v>750</v>
      </c>
      <c r="J174" s="6">
        <v>650</v>
      </c>
      <c r="K174" s="7">
        <v>100</v>
      </c>
      <c r="L174" s="8">
        <v>160</v>
      </c>
    </row>
    <row r="175" spans="2:12" x14ac:dyDescent="0.3">
      <c r="B175" s="116">
        <v>172</v>
      </c>
      <c r="C175" s="4" t="s">
        <v>107</v>
      </c>
      <c r="D175" s="4" t="s">
        <v>209</v>
      </c>
      <c r="E175" s="5">
        <v>108</v>
      </c>
      <c r="F175" s="5">
        <v>80</v>
      </c>
      <c r="G175" s="5">
        <v>57</v>
      </c>
      <c r="H175" s="5">
        <v>45</v>
      </c>
      <c r="I175" s="6">
        <v>0</v>
      </c>
      <c r="J175" s="6">
        <v>0</v>
      </c>
      <c r="K175" s="7">
        <v>0</v>
      </c>
      <c r="L175" s="8">
        <v>0</v>
      </c>
    </row>
    <row r="176" spans="2:12" x14ac:dyDescent="0.3">
      <c r="B176" s="116">
        <v>173</v>
      </c>
      <c r="C176" s="4" t="s">
        <v>108</v>
      </c>
      <c r="D176" s="4" t="s">
        <v>209</v>
      </c>
      <c r="E176" s="5">
        <v>47</v>
      </c>
      <c r="F176" s="5">
        <v>33</v>
      </c>
      <c r="G176" s="5">
        <v>22</v>
      </c>
      <c r="H176" s="5">
        <v>17</v>
      </c>
      <c r="I176" s="6">
        <v>0</v>
      </c>
      <c r="J176" s="6">
        <v>0</v>
      </c>
      <c r="K176" s="7">
        <v>0</v>
      </c>
      <c r="L176" s="8">
        <v>0</v>
      </c>
    </row>
    <row r="177" spans="2:12" x14ac:dyDescent="0.3">
      <c r="B177" s="116">
        <v>174</v>
      </c>
      <c r="C177" s="4" t="s">
        <v>326</v>
      </c>
      <c r="D177" s="4" t="s">
        <v>209</v>
      </c>
      <c r="E177" s="5">
        <v>77</v>
      </c>
      <c r="F177" s="5">
        <v>57</v>
      </c>
      <c r="G177" s="5">
        <v>40</v>
      </c>
      <c r="H177" s="5">
        <v>32</v>
      </c>
      <c r="I177" s="6">
        <v>0</v>
      </c>
      <c r="J177" s="6">
        <v>0</v>
      </c>
      <c r="K177" s="7">
        <v>0</v>
      </c>
      <c r="L177" s="8">
        <v>0</v>
      </c>
    </row>
    <row r="178" spans="2:12" x14ac:dyDescent="0.3">
      <c r="B178" s="116">
        <v>175</v>
      </c>
      <c r="C178" s="4" t="s">
        <v>109</v>
      </c>
      <c r="D178" s="4" t="s">
        <v>209</v>
      </c>
      <c r="E178" s="5">
        <v>108</v>
      </c>
      <c r="F178" s="5">
        <v>80</v>
      </c>
      <c r="G178" s="5">
        <v>57</v>
      </c>
      <c r="H178" s="5">
        <v>45</v>
      </c>
      <c r="I178" s="6">
        <v>0</v>
      </c>
      <c r="J178" s="6">
        <v>0</v>
      </c>
      <c r="K178" s="7">
        <v>0</v>
      </c>
      <c r="L178" s="8">
        <v>0</v>
      </c>
    </row>
    <row r="179" spans="2:12" x14ac:dyDescent="0.3">
      <c r="B179" s="116">
        <v>176</v>
      </c>
      <c r="C179" s="4" t="s">
        <v>110</v>
      </c>
      <c r="D179" s="4" t="s">
        <v>209</v>
      </c>
      <c r="E179" s="5">
        <v>47</v>
      </c>
      <c r="F179" s="5">
        <v>33</v>
      </c>
      <c r="G179" s="5">
        <v>22</v>
      </c>
      <c r="H179" s="5">
        <v>17</v>
      </c>
      <c r="I179" s="6">
        <v>0</v>
      </c>
      <c r="J179" s="6">
        <v>0</v>
      </c>
      <c r="K179" s="7">
        <v>0</v>
      </c>
      <c r="L179" s="8">
        <v>0</v>
      </c>
    </row>
    <row r="180" spans="2:12" x14ac:dyDescent="0.3">
      <c r="B180" s="116">
        <v>177</v>
      </c>
      <c r="C180" s="4" t="s">
        <v>111</v>
      </c>
      <c r="D180" s="4" t="s">
        <v>209</v>
      </c>
      <c r="E180" s="5">
        <v>47</v>
      </c>
      <c r="F180" s="5">
        <v>33</v>
      </c>
      <c r="G180" s="5">
        <v>22</v>
      </c>
      <c r="H180" s="5">
        <v>17</v>
      </c>
      <c r="I180" s="6">
        <v>0</v>
      </c>
      <c r="J180" s="6">
        <v>0</v>
      </c>
      <c r="K180" s="7">
        <v>0</v>
      </c>
      <c r="L180" s="8">
        <v>0</v>
      </c>
    </row>
    <row r="181" spans="2:12" x14ac:dyDescent="0.3">
      <c r="B181" s="116">
        <v>178</v>
      </c>
      <c r="C181" s="4" t="s">
        <v>327</v>
      </c>
      <c r="D181" s="4" t="s">
        <v>209</v>
      </c>
      <c r="E181" s="5">
        <v>108</v>
      </c>
      <c r="F181" s="5">
        <v>80</v>
      </c>
      <c r="G181" s="5">
        <v>57</v>
      </c>
      <c r="H181" s="5">
        <v>45</v>
      </c>
      <c r="I181" s="6">
        <v>0</v>
      </c>
      <c r="J181" s="6">
        <v>0</v>
      </c>
      <c r="K181" s="7">
        <v>0</v>
      </c>
      <c r="L181" s="8">
        <v>0</v>
      </c>
    </row>
    <row r="182" spans="2:12" x14ac:dyDescent="0.3">
      <c r="B182" s="116">
        <v>179</v>
      </c>
      <c r="C182" s="4" t="s">
        <v>328</v>
      </c>
      <c r="D182" s="4" t="s">
        <v>209</v>
      </c>
      <c r="E182" s="5">
        <v>108</v>
      </c>
      <c r="F182" s="5">
        <v>80</v>
      </c>
      <c r="G182" s="5">
        <v>57</v>
      </c>
      <c r="H182" s="5">
        <v>45</v>
      </c>
      <c r="I182" s="6">
        <v>0</v>
      </c>
      <c r="J182" s="6">
        <v>0</v>
      </c>
      <c r="K182" s="7">
        <v>0</v>
      </c>
      <c r="L182" s="8">
        <v>0</v>
      </c>
    </row>
  </sheetData>
  <sheetProtection password="E359" sheet="1" objects="1" scenarios="1" selectLockedCells="1" selectUnlockedCells="1"/>
  <mergeCells count="2">
    <mergeCell ref="E2:H2"/>
    <mergeCell ref="I2:L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AB186"/>
  <sheetViews>
    <sheetView showGridLines="0" zoomScale="80" zoomScaleNormal="80" zoomScaleSheetLayoutView="85" workbookViewId="0"/>
  </sheetViews>
  <sheetFormatPr defaultRowHeight="14.4" x14ac:dyDescent="0.3"/>
  <cols>
    <col min="1" max="1" width="1.6640625" style="1" customWidth="1"/>
    <col min="2" max="2" width="40" style="1" customWidth="1"/>
    <col min="3" max="3" width="24" style="1" customWidth="1"/>
    <col min="4" max="7" width="15.88671875" style="1" customWidth="1"/>
    <col min="8" max="8" width="1.6640625" style="1" customWidth="1"/>
    <col min="9" max="10" width="26" style="1" customWidth="1"/>
    <col min="11" max="11" width="1.6640625" style="1" customWidth="1"/>
    <col min="12" max="12" width="18.6640625" style="12" customWidth="1"/>
    <col min="13" max="14" width="18.6640625" style="1" customWidth="1"/>
    <col min="15" max="15" width="1.6640625" style="1" customWidth="1"/>
    <col min="16" max="16" width="25.44140625" style="1" customWidth="1"/>
    <col min="17" max="17" width="20.6640625" style="1" customWidth="1"/>
    <col min="18" max="18" width="1.6640625" style="1" customWidth="1"/>
    <col min="19" max="20" width="25.44140625" style="1" customWidth="1"/>
    <col min="21" max="21" width="20.6640625" style="1" customWidth="1"/>
    <col min="22" max="22" width="1.6640625" style="1" customWidth="1"/>
    <col min="23" max="23" width="41.5546875" style="1" customWidth="1"/>
    <col min="24" max="24" width="23" style="1" customWidth="1"/>
    <col min="25" max="28" width="18.6640625" style="1" customWidth="1"/>
    <col min="29" max="29" width="1.6640625" style="1" customWidth="1"/>
    <col min="30" max="255" width="9.109375" style="1"/>
    <col min="256" max="256" width="40" style="1" customWidth="1"/>
    <col min="257" max="257" width="11.5546875" style="1" customWidth="1"/>
    <col min="258" max="258" width="24" style="1" customWidth="1"/>
    <col min="259" max="262" width="15.88671875" style="1" customWidth="1"/>
    <col min="263" max="263" width="1.6640625" style="1" customWidth="1"/>
    <col min="264" max="265" width="26" style="1" customWidth="1"/>
    <col min="266" max="266" width="1.6640625" style="1" customWidth="1"/>
    <col min="267" max="269" width="18.6640625" style="1" customWidth="1"/>
    <col min="270" max="270" width="1.6640625" style="1" customWidth="1"/>
    <col min="271" max="271" width="25.44140625" style="1" customWidth="1"/>
    <col min="272" max="272" width="20.6640625" style="1" customWidth="1"/>
    <col min="273" max="273" width="1.6640625" style="1" customWidth="1"/>
    <col min="274" max="275" width="25.44140625" style="1" customWidth="1"/>
    <col min="276" max="276" width="20.6640625" style="1" customWidth="1"/>
    <col min="277" max="277" width="1.6640625" style="1" customWidth="1"/>
    <col min="278" max="278" width="41.5546875" style="1" customWidth="1"/>
    <col min="279" max="279" width="11.5546875" style="1" customWidth="1"/>
    <col min="280" max="280" width="23" style="1" customWidth="1"/>
    <col min="281" max="284" width="18.6640625" style="1" customWidth="1"/>
    <col min="285" max="285" width="1.6640625" style="1" customWidth="1"/>
    <col min="286" max="511" width="9.109375" style="1"/>
    <col min="512" max="512" width="40" style="1" customWidth="1"/>
    <col min="513" max="513" width="11.5546875" style="1" customWidth="1"/>
    <col min="514" max="514" width="24" style="1" customWidth="1"/>
    <col min="515" max="518" width="15.88671875" style="1" customWidth="1"/>
    <col min="519" max="519" width="1.6640625" style="1" customWidth="1"/>
    <col min="520" max="521" width="26" style="1" customWidth="1"/>
    <col min="522" max="522" width="1.6640625" style="1" customWidth="1"/>
    <col min="523" max="525" width="18.6640625" style="1" customWidth="1"/>
    <col min="526" max="526" width="1.6640625" style="1" customWidth="1"/>
    <col min="527" max="527" width="25.44140625" style="1" customWidth="1"/>
    <col min="528" max="528" width="20.6640625" style="1" customWidth="1"/>
    <col min="529" max="529" width="1.6640625" style="1" customWidth="1"/>
    <col min="530" max="531" width="25.44140625" style="1" customWidth="1"/>
    <col min="532" max="532" width="20.6640625" style="1" customWidth="1"/>
    <col min="533" max="533" width="1.6640625" style="1" customWidth="1"/>
    <col min="534" max="534" width="41.5546875" style="1" customWidth="1"/>
    <col min="535" max="535" width="11.5546875" style="1" customWidth="1"/>
    <col min="536" max="536" width="23" style="1" customWidth="1"/>
    <col min="537" max="540" width="18.6640625" style="1" customWidth="1"/>
    <col min="541" max="541" width="1.6640625" style="1" customWidth="1"/>
    <col min="542" max="767" width="9.109375" style="1"/>
    <col min="768" max="768" width="40" style="1" customWidth="1"/>
    <col min="769" max="769" width="11.5546875" style="1" customWidth="1"/>
    <col min="770" max="770" width="24" style="1" customWidth="1"/>
    <col min="771" max="774" width="15.88671875" style="1" customWidth="1"/>
    <col min="775" max="775" width="1.6640625" style="1" customWidth="1"/>
    <col min="776" max="777" width="26" style="1" customWidth="1"/>
    <col min="778" max="778" width="1.6640625" style="1" customWidth="1"/>
    <col min="779" max="781" width="18.6640625" style="1" customWidth="1"/>
    <col min="782" max="782" width="1.6640625" style="1" customWidth="1"/>
    <col min="783" max="783" width="25.44140625" style="1" customWidth="1"/>
    <col min="784" max="784" width="20.6640625" style="1" customWidth="1"/>
    <col min="785" max="785" width="1.6640625" style="1" customWidth="1"/>
    <col min="786" max="787" width="25.44140625" style="1" customWidth="1"/>
    <col min="788" max="788" width="20.6640625" style="1" customWidth="1"/>
    <col min="789" max="789" width="1.6640625" style="1" customWidth="1"/>
    <col min="790" max="790" width="41.5546875" style="1" customWidth="1"/>
    <col min="791" max="791" width="11.5546875" style="1" customWidth="1"/>
    <col min="792" max="792" width="23" style="1" customWidth="1"/>
    <col min="793" max="796" width="18.6640625" style="1" customWidth="1"/>
    <col min="797" max="797" width="1.6640625" style="1" customWidth="1"/>
    <col min="798" max="1023" width="9.109375" style="1"/>
    <col min="1024" max="1024" width="40" style="1" customWidth="1"/>
    <col min="1025" max="1025" width="11.5546875" style="1" customWidth="1"/>
    <col min="1026" max="1026" width="24" style="1" customWidth="1"/>
    <col min="1027" max="1030" width="15.88671875" style="1" customWidth="1"/>
    <col min="1031" max="1031" width="1.6640625" style="1" customWidth="1"/>
    <col min="1032" max="1033" width="26" style="1" customWidth="1"/>
    <col min="1034" max="1034" width="1.6640625" style="1" customWidth="1"/>
    <col min="1035" max="1037" width="18.6640625" style="1" customWidth="1"/>
    <col min="1038" max="1038" width="1.6640625" style="1" customWidth="1"/>
    <col min="1039" max="1039" width="25.44140625" style="1" customWidth="1"/>
    <col min="1040" max="1040" width="20.6640625" style="1" customWidth="1"/>
    <col min="1041" max="1041" width="1.6640625" style="1" customWidth="1"/>
    <col min="1042" max="1043" width="25.44140625" style="1" customWidth="1"/>
    <col min="1044" max="1044" width="20.6640625" style="1" customWidth="1"/>
    <col min="1045" max="1045" width="1.6640625" style="1" customWidth="1"/>
    <col min="1046" max="1046" width="41.5546875" style="1" customWidth="1"/>
    <col min="1047" max="1047" width="11.5546875" style="1" customWidth="1"/>
    <col min="1048" max="1048" width="23" style="1" customWidth="1"/>
    <col min="1049" max="1052" width="18.6640625" style="1" customWidth="1"/>
    <col min="1053" max="1053" width="1.6640625" style="1" customWidth="1"/>
    <col min="1054" max="1279" width="9.109375" style="1"/>
    <col min="1280" max="1280" width="40" style="1" customWidth="1"/>
    <col min="1281" max="1281" width="11.5546875" style="1" customWidth="1"/>
    <col min="1282" max="1282" width="24" style="1" customWidth="1"/>
    <col min="1283" max="1286" width="15.88671875" style="1" customWidth="1"/>
    <col min="1287" max="1287" width="1.6640625" style="1" customWidth="1"/>
    <col min="1288" max="1289" width="26" style="1" customWidth="1"/>
    <col min="1290" max="1290" width="1.6640625" style="1" customWidth="1"/>
    <col min="1291" max="1293" width="18.6640625" style="1" customWidth="1"/>
    <col min="1294" max="1294" width="1.6640625" style="1" customWidth="1"/>
    <col min="1295" max="1295" width="25.44140625" style="1" customWidth="1"/>
    <col min="1296" max="1296" width="20.6640625" style="1" customWidth="1"/>
    <col min="1297" max="1297" width="1.6640625" style="1" customWidth="1"/>
    <col min="1298" max="1299" width="25.44140625" style="1" customWidth="1"/>
    <col min="1300" max="1300" width="20.6640625" style="1" customWidth="1"/>
    <col min="1301" max="1301" width="1.6640625" style="1" customWidth="1"/>
    <col min="1302" max="1302" width="41.5546875" style="1" customWidth="1"/>
    <col min="1303" max="1303" width="11.5546875" style="1" customWidth="1"/>
    <col min="1304" max="1304" width="23" style="1" customWidth="1"/>
    <col min="1305" max="1308" width="18.6640625" style="1" customWidth="1"/>
    <col min="1309" max="1309" width="1.6640625" style="1" customWidth="1"/>
    <col min="1310" max="1535" width="9.109375" style="1"/>
    <col min="1536" max="1536" width="40" style="1" customWidth="1"/>
    <col min="1537" max="1537" width="11.5546875" style="1" customWidth="1"/>
    <col min="1538" max="1538" width="24" style="1" customWidth="1"/>
    <col min="1539" max="1542" width="15.88671875" style="1" customWidth="1"/>
    <col min="1543" max="1543" width="1.6640625" style="1" customWidth="1"/>
    <col min="1544" max="1545" width="26" style="1" customWidth="1"/>
    <col min="1546" max="1546" width="1.6640625" style="1" customWidth="1"/>
    <col min="1547" max="1549" width="18.6640625" style="1" customWidth="1"/>
    <col min="1550" max="1550" width="1.6640625" style="1" customWidth="1"/>
    <col min="1551" max="1551" width="25.44140625" style="1" customWidth="1"/>
    <col min="1552" max="1552" width="20.6640625" style="1" customWidth="1"/>
    <col min="1553" max="1553" width="1.6640625" style="1" customWidth="1"/>
    <col min="1554" max="1555" width="25.44140625" style="1" customWidth="1"/>
    <col min="1556" max="1556" width="20.6640625" style="1" customWidth="1"/>
    <col min="1557" max="1557" width="1.6640625" style="1" customWidth="1"/>
    <col min="1558" max="1558" width="41.5546875" style="1" customWidth="1"/>
    <col min="1559" max="1559" width="11.5546875" style="1" customWidth="1"/>
    <col min="1560" max="1560" width="23" style="1" customWidth="1"/>
    <col min="1561" max="1564" width="18.6640625" style="1" customWidth="1"/>
    <col min="1565" max="1565" width="1.6640625" style="1" customWidth="1"/>
    <col min="1566" max="1791" width="9.109375" style="1"/>
    <col min="1792" max="1792" width="40" style="1" customWidth="1"/>
    <col min="1793" max="1793" width="11.5546875" style="1" customWidth="1"/>
    <col min="1794" max="1794" width="24" style="1" customWidth="1"/>
    <col min="1795" max="1798" width="15.88671875" style="1" customWidth="1"/>
    <col min="1799" max="1799" width="1.6640625" style="1" customWidth="1"/>
    <col min="1800" max="1801" width="26" style="1" customWidth="1"/>
    <col min="1802" max="1802" width="1.6640625" style="1" customWidth="1"/>
    <col min="1803" max="1805" width="18.6640625" style="1" customWidth="1"/>
    <col min="1806" max="1806" width="1.6640625" style="1" customWidth="1"/>
    <col min="1807" max="1807" width="25.44140625" style="1" customWidth="1"/>
    <col min="1808" max="1808" width="20.6640625" style="1" customWidth="1"/>
    <col min="1809" max="1809" width="1.6640625" style="1" customWidth="1"/>
    <col min="1810" max="1811" width="25.44140625" style="1" customWidth="1"/>
    <col min="1812" max="1812" width="20.6640625" style="1" customWidth="1"/>
    <col min="1813" max="1813" width="1.6640625" style="1" customWidth="1"/>
    <col min="1814" max="1814" width="41.5546875" style="1" customWidth="1"/>
    <col min="1815" max="1815" width="11.5546875" style="1" customWidth="1"/>
    <col min="1816" max="1816" width="23" style="1" customWidth="1"/>
    <col min="1817" max="1820" width="18.6640625" style="1" customWidth="1"/>
    <col min="1821" max="1821" width="1.6640625" style="1" customWidth="1"/>
    <col min="1822" max="2047" width="9.109375" style="1"/>
    <col min="2048" max="2048" width="40" style="1" customWidth="1"/>
    <col min="2049" max="2049" width="11.5546875" style="1" customWidth="1"/>
    <col min="2050" max="2050" width="24" style="1" customWidth="1"/>
    <col min="2051" max="2054" width="15.88671875" style="1" customWidth="1"/>
    <col min="2055" max="2055" width="1.6640625" style="1" customWidth="1"/>
    <col min="2056" max="2057" width="26" style="1" customWidth="1"/>
    <col min="2058" max="2058" width="1.6640625" style="1" customWidth="1"/>
    <col min="2059" max="2061" width="18.6640625" style="1" customWidth="1"/>
    <col min="2062" max="2062" width="1.6640625" style="1" customWidth="1"/>
    <col min="2063" max="2063" width="25.44140625" style="1" customWidth="1"/>
    <col min="2064" max="2064" width="20.6640625" style="1" customWidth="1"/>
    <col min="2065" max="2065" width="1.6640625" style="1" customWidth="1"/>
    <col min="2066" max="2067" width="25.44140625" style="1" customWidth="1"/>
    <col min="2068" max="2068" width="20.6640625" style="1" customWidth="1"/>
    <col min="2069" max="2069" width="1.6640625" style="1" customWidth="1"/>
    <col min="2070" max="2070" width="41.5546875" style="1" customWidth="1"/>
    <col min="2071" max="2071" width="11.5546875" style="1" customWidth="1"/>
    <col min="2072" max="2072" width="23" style="1" customWidth="1"/>
    <col min="2073" max="2076" width="18.6640625" style="1" customWidth="1"/>
    <col min="2077" max="2077" width="1.6640625" style="1" customWidth="1"/>
    <col min="2078" max="2303" width="9.109375" style="1"/>
    <col min="2304" max="2304" width="40" style="1" customWidth="1"/>
    <col min="2305" max="2305" width="11.5546875" style="1" customWidth="1"/>
    <col min="2306" max="2306" width="24" style="1" customWidth="1"/>
    <col min="2307" max="2310" width="15.88671875" style="1" customWidth="1"/>
    <col min="2311" max="2311" width="1.6640625" style="1" customWidth="1"/>
    <col min="2312" max="2313" width="26" style="1" customWidth="1"/>
    <col min="2314" max="2314" width="1.6640625" style="1" customWidth="1"/>
    <col min="2315" max="2317" width="18.6640625" style="1" customWidth="1"/>
    <col min="2318" max="2318" width="1.6640625" style="1" customWidth="1"/>
    <col min="2319" max="2319" width="25.44140625" style="1" customWidth="1"/>
    <col min="2320" max="2320" width="20.6640625" style="1" customWidth="1"/>
    <col min="2321" max="2321" width="1.6640625" style="1" customWidth="1"/>
    <col min="2322" max="2323" width="25.44140625" style="1" customWidth="1"/>
    <col min="2324" max="2324" width="20.6640625" style="1" customWidth="1"/>
    <col min="2325" max="2325" width="1.6640625" style="1" customWidth="1"/>
    <col min="2326" max="2326" width="41.5546875" style="1" customWidth="1"/>
    <col min="2327" max="2327" width="11.5546875" style="1" customWidth="1"/>
    <col min="2328" max="2328" width="23" style="1" customWidth="1"/>
    <col min="2329" max="2332" width="18.6640625" style="1" customWidth="1"/>
    <col min="2333" max="2333" width="1.6640625" style="1" customWidth="1"/>
    <col min="2334" max="2559" width="9.109375" style="1"/>
    <col min="2560" max="2560" width="40" style="1" customWidth="1"/>
    <col min="2561" max="2561" width="11.5546875" style="1" customWidth="1"/>
    <col min="2562" max="2562" width="24" style="1" customWidth="1"/>
    <col min="2563" max="2566" width="15.88671875" style="1" customWidth="1"/>
    <col min="2567" max="2567" width="1.6640625" style="1" customWidth="1"/>
    <col min="2568" max="2569" width="26" style="1" customWidth="1"/>
    <col min="2570" max="2570" width="1.6640625" style="1" customWidth="1"/>
    <col min="2571" max="2573" width="18.6640625" style="1" customWidth="1"/>
    <col min="2574" max="2574" width="1.6640625" style="1" customWidth="1"/>
    <col min="2575" max="2575" width="25.44140625" style="1" customWidth="1"/>
    <col min="2576" max="2576" width="20.6640625" style="1" customWidth="1"/>
    <col min="2577" max="2577" width="1.6640625" style="1" customWidth="1"/>
    <col min="2578" max="2579" width="25.44140625" style="1" customWidth="1"/>
    <col min="2580" max="2580" width="20.6640625" style="1" customWidth="1"/>
    <col min="2581" max="2581" width="1.6640625" style="1" customWidth="1"/>
    <col min="2582" max="2582" width="41.5546875" style="1" customWidth="1"/>
    <col min="2583" max="2583" width="11.5546875" style="1" customWidth="1"/>
    <col min="2584" max="2584" width="23" style="1" customWidth="1"/>
    <col min="2585" max="2588" width="18.6640625" style="1" customWidth="1"/>
    <col min="2589" max="2589" width="1.6640625" style="1" customWidth="1"/>
    <col min="2590" max="2815" width="9.109375" style="1"/>
    <col min="2816" max="2816" width="40" style="1" customWidth="1"/>
    <col min="2817" max="2817" width="11.5546875" style="1" customWidth="1"/>
    <col min="2818" max="2818" width="24" style="1" customWidth="1"/>
    <col min="2819" max="2822" width="15.88671875" style="1" customWidth="1"/>
    <col min="2823" max="2823" width="1.6640625" style="1" customWidth="1"/>
    <col min="2824" max="2825" width="26" style="1" customWidth="1"/>
    <col min="2826" max="2826" width="1.6640625" style="1" customWidth="1"/>
    <col min="2827" max="2829" width="18.6640625" style="1" customWidth="1"/>
    <col min="2830" max="2830" width="1.6640625" style="1" customWidth="1"/>
    <col min="2831" max="2831" width="25.44140625" style="1" customWidth="1"/>
    <col min="2832" max="2832" width="20.6640625" style="1" customWidth="1"/>
    <col min="2833" max="2833" width="1.6640625" style="1" customWidth="1"/>
    <col min="2834" max="2835" width="25.44140625" style="1" customWidth="1"/>
    <col min="2836" max="2836" width="20.6640625" style="1" customWidth="1"/>
    <col min="2837" max="2837" width="1.6640625" style="1" customWidth="1"/>
    <col min="2838" max="2838" width="41.5546875" style="1" customWidth="1"/>
    <col min="2839" max="2839" width="11.5546875" style="1" customWidth="1"/>
    <col min="2840" max="2840" width="23" style="1" customWidth="1"/>
    <col min="2841" max="2844" width="18.6640625" style="1" customWidth="1"/>
    <col min="2845" max="2845" width="1.6640625" style="1" customWidth="1"/>
    <col min="2846" max="3071" width="9.109375" style="1"/>
    <col min="3072" max="3072" width="40" style="1" customWidth="1"/>
    <col min="3073" max="3073" width="11.5546875" style="1" customWidth="1"/>
    <col min="3074" max="3074" width="24" style="1" customWidth="1"/>
    <col min="3075" max="3078" width="15.88671875" style="1" customWidth="1"/>
    <col min="3079" max="3079" width="1.6640625" style="1" customWidth="1"/>
    <col min="3080" max="3081" width="26" style="1" customWidth="1"/>
    <col min="3082" max="3082" width="1.6640625" style="1" customWidth="1"/>
    <col min="3083" max="3085" width="18.6640625" style="1" customWidth="1"/>
    <col min="3086" max="3086" width="1.6640625" style="1" customWidth="1"/>
    <col min="3087" max="3087" width="25.44140625" style="1" customWidth="1"/>
    <col min="3088" max="3088" width="20.6640625" style="1" customWidth="1"/>
    <col min="3089" max="3089" width="1.6640625" style="1" customWidth="1"/>
    <col min="3090" max="3091" width="25.44140625" style="1" customWidth="1"/>
    <col min="3092" max="3092" width="20.6640625" style="1" customWidth="1"/>
    <col min="3093" max="3093" width="1.6640625" style="1" customWidth="1"/>
    <col min="3094" max="3094" width="41.5546875" style="1" customWidth="1"/>
    <col min="3095" max="3095" width="11.5546875" style="1" customWidth="1"/>
    <col min="3096" max="3096" width="23" style="1" customWidth="1"/>
    <col min="3097" max="3100" width="18.6640625" style="1" customWidth="1"/>
    <col min="3101" max="3101" width="1.6640625" style="1" customWidth="1"/>
    <col min="3102" max="3327" width="9.109375" style="1"/>
    <col min="3328" max="3328" width="40" style="1" customWidth="1"/>
    <col min="3329" max="3329" width="11.5546875" style="1" customWidth="1"/>
    <col min="3330" max="3330" width="24" style="1" customWidth="1"/>
    <col min="3331" max="3334" width="15.88671875" style="1" customWidth="1"/>
    <col min="3335" max="3335" width="1.6640625" style="1" customWidth="1"/>
    <col min="3336" max="3337" width="26" style="1" customWidth="1"/>
    <col min="3338" max="3338" width="1.6640625" style="1" customWidth="1"/>
    <col min="3339" max="3341" width="18.6640625" style="1" customWidth="1"/>
    <col min="3342" max="3342" width="1.6640625" style="1" customWidth="1"/>
    <col min="3343" max="3343" width="25.44140625" style="1" customWidth="1"/>
    <col min="3344" max="3344" width="20.6640625" style="1" customWidth="1"/>
    <col min="3345" max="3345" width="1.6640625" style="1" customWidth="1"/>
    <col min="3346" max="3347" width="25.44140625" style="1" customWidth="1"/>
    <col min="3348" max="3348" width="20.6640625" style="1" customWidth="1"/>
    <col min="3349" max="3349" width="1.6640625" style="1" customWidth="1"/>
    <col min="3350" max="3350" width="41.5546875" style="1" customWidth="1"/>
    <col min="3351" max="3351" width="11.5546875" style="1" customWidth="1"/>
    <col min="3352" max="3352" width="23" style="1" customWidth="1"/>
    <col min="3353" max="3356" width="18.6640625" style="1" customWidth="1"/>
    <col min="3357" max="3357" width="1.6640625" style="1" customWidth="1"/>
    <col min="3358" max="3583" width="9.109375" style="1"/>
    <col min="3584" max="3584" width="40" style="1" customWidth="1"/>
    <col min="3585" max="3585" width="11.5546875" style="1" customWidth="1"/>
    <col min="3586" max="3586" width="24" style="1" customWidth="1"/>
    <col min="3587" max="3590" width="15.88671875" style="1" customWidth="1"/>
    <col min="3591" max="3591" width="1.6640625" style="1" customWidth="1"/>
    <col min="3592" max="3593" width="26" style="1" customWidth="1"/>
    <col min="3594" max="3594" width="1.6640625" style="1" customWidth="1"/>
    <col min="3595" max="3597" width="18.6640625" style="1" customWidth="1"/>
    <col min="3598" max="3598" width="1.6640625" style="1" customWidth="1"/>
    <col min="3599" max="3599" width="25.44140625" style="1" customWidth="1"/>
    <col min="3600" max="3600" width="20.6640625" style="1" customWidth="1"/>
    <col min="3601" max="3601" width="1.6640625" style="1" customWidth="1"/>
    <col min="3602" max="3603" width="25.44140625" style="1" customWidth="1"/>
    <col min="3604" max="3604" width="20.6640625" style="1" customWidth="1"/>
    <col min="3605" max="3605" width="1.6640625" style="1" customWidth="1"/>
    <col min="3606" max="3606" width="41.5546875" style="1" customWidth="1"/>
    <col min="3607" max="3607" width="11.5546875" style="1" customWidth="1"/>
    <col min="3608" max="3608" width="23" style="1" customWidth="1"/>
    <col min="3609" max="3612" width="18.6640625" style="1" customWidth="1"/>
    <col min="3613" max="3613" width="1.6640625" style="1" customWidth="1"/>
    <col min="3614" max="3839" width="9.109375" style="1"/>
    <col min="3840" max="3840" width="40" style="1" customWidth="1"/>
    <col min="3841" max="3841" width="11.5546875" style="1" customWidth="1"/>
    <col min="3842" max="3842" width="24" style="1" customWidth="1"/>
    <col min="3843" max="3846" width="15.88671875" style="1" customWidth="1"/>
    <col min="3847" max="3847" width="1.6640625" style="1" customWidth="1"/>
    <col min="3848" max="3849" width="26" style="1" customWidth="1"/>
    <col min="3850" max="3850" width="1.6640625" style="1" customWidth="1"/>
    <col min="3851" max="3853" width="18.6640625" style="1" customWidth="1"/>
    <col min="3854" max="3854" width="1.6640625" style="1" customWidth="1"/>
    <col min="3855" max="3855" width="25.44140625" style="1" customWidth="1"/>
    <col min="3856" max="3856" width="20.6640625" style="1" customWidth="1"/>
    <col min="3857" max="3857" width="1.6640625" style="1" customWidth="1"/>
    <col min="3858" max="3859" width="25.44140625" style="1" customWidth="1"/>
    <col min="3860" max="3860" width="20.6640625" style="1" customWidth="1"/>
    <col min="3861" max="3861" width="1.6640625" style="1" customWidth="1"/>
    <col min="3862" max="3862" width="41.5546875" style="1" customWidth="1"/>
    <col min="3863" max="3863" width="11.5546875" style="1" customWidth="1"/>
    <col min="3864" max="3864" width="23" style="1" customWidth="1"/>
    <col min="3865" max="3868" width="18.6640625" style="1" customWidth="1"/>
    <col min="3869" max="3869" width="1.6640625" style="1" customWidth="1"/>
    <col min="3870" max="4095" width="9.109375" style="1"/>
    <col min="4096" max="4096" width="40" style="1" customWidth="1"/>
    <col min="4097" max="4097" width="11.5546875" style="1" customWidth="1"/>
    <col min="4098" max="4098" width="24" style="1" customWidth="1"/>
    <col min="4099" max="4102" width="15.88671875" style="1" customWidth="1"/>
    <col min="4103" max="4103" width="1.6640625" style="1" customWidth="1"/>
    <col min="4104" max="4105" width="26" style="1" customWidth="1"/>
    <col min="4106" max="4106" width="1.6640625" style="1" customWidth="1"/>
    <col min="4107" max="4109" width="18.6640625" style="1" customWidth="1"/>
    <col min="4110" max="4110" width="1.6640625" style="1" customWidth="1"/>
    <col min="4111" max="4111" width="25.44140625" style="1" customWidth="1"/>
    <col min="4112" max="4112" width="20.6640625" style="1" customWidth="1"/>
    <col min="4113" max="4113" width="1.6640625" style="1" customWidth="1"/>
    <col min="4114" max="4115" width="25.44140625" style="1" customWidth="1"/>
    <col min="4116" max="4116" width="20.6640625" style="1" customWidth="1"/>
    <col min="4117" max="4117" width="1.6640625" style="1" customWidth="1"/>
    <col min="4118" max="4118" width="41.5546875" style="1" customWidth="1"/>
    <col min="4119" max="4119" width="11.5546875" style="1" customWidth="1"/>
    <col min="4120" max="4120" width="23" style="1" customWidth="1"/>
    <col min="4121" max="4124" width="18.6640625" style="1" customWidth="1"/>
    <col min="4125" max="4125" width="1.6640625" style="1" customWidth="1"/>
    <col min="4126" max="4351" width="9.109375" style="1"/>
    <col min="4352" max="4352" width="40" style="1" customWidth="1"/>
    <col min="4353" max="4353" width="11.5546875" style="1" customWidth="1"/>
    <col min="4354" max="4354" width="24" style="1" customWidth="1"/>
    <col min="4355" max="4358" width="15.88671875" style="1" customWidth="1"/>
    <col min="4359" max="4359" width="1.6640625" style="1" customWidth="1"/>
    <col min="4360" max="4361" width="26" style="1" customWidth="1"/>
    <col min="4362" max="4362" width="1.6640625" style="1" customWidth="1"/>
    <col min="4363" max="4365" width="18.6640625" style="1" customWidth="1"/>
    <col min="4366" max="4366" width="1.6640625" style="1" customWidth="1"/>
    <col min="4367" max="4367" width="25.44140625" style="1" customWidth="1"/>
    <col min="4368" max="4368" width="20.6640625" style="1" customWidth="1"/>
    <col min="4369" max="4369" width="1.6640625" style="1" customWidth="1"/>
    <col min="4370" max="4371" width="25.44140625" style="1" customWidth="1"/>
    <col min="4372" max="4372" width="20.6640625" style="1" customWidth="1"/>
    <col min="4373" max="4373" width="1.6640625" style="1" customWidth="1"/>
    <col min="4374" max="4374" width="41.5546875" style="1" customWidth="1"/>
    <col min="4375" max="4375" width="11.5546875" style="1" customWidth="1"/>
    <col min="4376" max="4376" width="23" style="1" customWidth="1"/>
    <col min="4377" max="4380" width="18.6640625" style="1" customWidth="1"/>
    <col min="4381" max="4381" width="1.6640625" style="1" customWidth="1"/>
    <col min="4382" max="4607" width="9.109375" style="1"/>
    <col min="4608" max="4608" width="40" style="1" customWidth="1"/>
    <col min="4609" max="4609" width="11.5546875" style="1" customWidth="1"/>
    <col min="4610" max="4610" width="24" style="1" customWidth="1"/>
    <col min="4611" max="4614" width="15.88671875" style="1" customWidth="1"/>
    <col min="4615" max="4615" width="1.6640625" style="1" customWidth="1"/>
    <col min="4616" max="4617" width="26" style="1" customWidth="1"/>
    <col min="4618" max="4618" width="1.6640625" style="1" customWidth="1"/>
    <col min="4619" max="4621" width="18.6640625" style="1" customWidth="1"/>
    <col min="4622" max="4622" width="1.6640625" style="1" customWidth="1"/>
    <col min="4623" max="4623" width="25.44140625" style="1" customWidth="1"/>
    <col min="4624" max="4624" width="20.6640625" style="1" customWidth="1"/>
    <col min="4625" max="4625" width="1.6640625" style="1" customWidth="1"/>
    <col min="4626" max="4627" width="25.44140625" style="1" customWidth="1"/>
    <col min="4628" max="4628" width="20.6640625" style="1" customWidth="1"/>
    <col min="4629" max="4629" width="1.6640625" style="1" customWidth="1"/>
    <col min="4630" max="4630" width="41.5546875" style="1" customWidth="1"/>
    <col min="4631" max="4631" width="11.5546875" style="1" customWidth="1"/>
    <col min="4632" max="4632" width="23" style="1" customWidth="1"/>
    <col min="4633" max="4636" width="18.6640625" style="1" customWidth="1"/>
    <col min="4637" max="4637" width="1.6640625" style="1" customWidth="1"/>
    <col min="4638" max="4863" width="9.109375" style="1"/>
    <col min="4864" max="4864" width="40" style="1" customWidth="1"/>
    <col min="4865" max="4865" width="11.5546875" style="1" customWidth="1"/>
    <col min="4866" max="4866" width="24" style="1" customWidth="1"/>
    <col min="4867" max="4870" width="15.88671875" style="1" customWidth="1"/>
    <col min="4871" max="4871" width="1.6640625" style="1" customWidth="1"/>
    <col min="4872" max="4873" width="26" style="1" customWidth="1"/>
    <col min="4874" max="4874" width="1.6640625" style="1" customWidth="1"/>
    <col min="4875" max="4877" width="18.6640625" style="1" customWidth="1"/>
    <col min="4878" max="4878" width="1.6640625" style="1" customWidth="1"/>
    <col min="4879" max="4879" width="25.44140625" style="1" customWidth="1"/>
    <col min="4880" max="4880" width="20.6640625" style="1" customWidth="1"/>
    <col min="4881" max="4881" width="1.6640625" style="1" customWidth="1"/>
    <col min="4882" max="4883" width="25.44140625" style="1" customWidth="1"/>
    <col min="4884" max="4884" width="20.6640625" style="1" customWidth="1"/>
    <col min="4885" max="4885" width="1.6640625" style="1" customWidth="1"/>
    <col min="4886" max="4886" width="41.5546875" style="1" customWidth="1"/>
    <col min="4887" max="4887" width="11.5546875" style="1" customWidth="1"/>
    <col min="4888" max="4888" width="23" style="1" customWidth="1"/>
    <col min="4889" max="4892" width="18.6640625" style="1" customWidth="1"/>
    <col min="4893" max="4893" width="1.6640625" style="1" customWidth="1"/>
    <col min="4894" max="5119" width="9.109375" style="1"/>
    <col min="5120" max="5120" width="40" style="1" customWidth="1"/>
    <col min="5121" max="5121" width="11.5546875" style="1" customWidth="1"/>
    <col min="5122" max="5122" width="24" style="1" customWidth="1"/>
    <col min="5123" max="5126" width="15.88671875" style="1" customWidth="1"/>
    <col min="5127" max="5127" width="1.6640625" style="1" customWidth="1"/>
    <col min="5128" max="5129" width="26" style="1" customWidth="1"/>
    <col min="5130" max="5130" width="1.6640625" style="1" customWidth="1"/>
    <col min="5131" max="5133" width="18.6640625" style="1" customWidth="1"/>
    <col min="5134" max="5134" width="1.6640625" style="1" customWidth="1"/>
    <col min="5135" max="5135" width="25.44140625" style="1" customWidth="1"/>
    <col min="5136" max="5136" width="20.6640625" style="1" customWidth="1"/>
    <col min="5137" max="5137" width="1.6640625" style="1" customWidth="1"/>
    <col min="5138" max="5139" width="25.44140625" style="1" customWidth="1"/>
    <col min="5140" max="5140" width="20.6640625" style="1" customWidth="1"/>
    <col min="5141" max="5141" width="1.6640625" style="1" customWidth="1"/>
    <col min="5142" max="5142" width="41.5546875" style="1" customWidth="1"/>
    <col min="5143" max="5143" width="11.5546875" style="1" customWidth="1"/>
    <col min="5144" max="5144" width="23" style="1" customWidth="1"/>
    <col min="5145" max="5148" width="18.6640625" style="1" customWidth="1"/>
    <col min="5149" max="5149" width="1.6640625" style="1" customWidth="1"/>
    <col min="5150" max="5375" width="9.109375" style="1"/>
    <col min="5376" max="5376" width="40" style="1" customWidth="1"/>
    <col min="5377" max="5377" width="11.5546875" style="1" customWidth="1"/>
    <col min="5378" max="5378" width="24" style="1" customWidth="1"/>
    <col min="5379" max="5382" width="15.88671875" style="1" customWidth="1"/>
    <col min="5383" max="5383" width="1.6640625" style="1" customWidth="1"/>
    <col min="5384" max="5385" width="26" style="1" customWidth="1"/>
    <col min="5386" max="5386" width="1.6640625" style="1" customWidth="1"/>
    <col min="5387" max="5389" width="18.6640625" style="1" customWidth="1"/>
    <col min="5390" max="5390" width="1.6640625" style="1" customWidth="1"/>
    <col min="5391" max="5391" width="25.44140625" style="1" customWidth="1"/>
    <col min="5392" max="5392" width="20.6640625" style="1" customWidth="1"/>
    <col min="5393" max="5393" width="1.6640625" style="1" customWidth="1"/>
    <col min="5394" max="5395" width="25.44140625" style="1" customWidth="1"/>
    <col min="5396" max="5396" width="20.6640625" style="1" customWidth="1"/>
    <col min="5397" max="5397" width="1.6640625" style="1" customWidth="1"/>
    <col min="5398" max="5398" width="41.5546875" style="1" customWidth="1"/>
    <col min="5399" max="5399" width="11.5546875" style="1" customWidth="1"/>
    <col min="5400" max="5400" width="23" style="1" customWidth="1"/>
    <col min="5401" max="5404" width="18.6640625" style="1" customWidth="1"/>
    <col min="5405" max="5405" width="1.6640625" style="1" customWidth="1"/>
    <col min="5406" max="5631" width="9.109375" style="1"/>
    <col min="5632" max="5632" width="40" style="1" customWidth="1"/>
    <col min="5633" max="5633" width="11.5546875" style="1" customWidth="1"/>
    <col min="5634" max="5634" width="24" style="1" customWidth="1"/>
    <col min="5635" max="5638" width="15.88671875" style="1" customWidth="1"/>
    <col min="5639" max="5639" width="1.6640625" style="1" customWidth="1"/>
    <col min="5640" max="5641" width="26" style="1" customWidth="1"/>
    <col min="5642" max="5642" width="1.6640625" style="1" customWidth="1"/>
    <col min="5643" max="5645" width="18.6640625" style="1" customWidth="1"/>
    <col min="5646" max="5646" width="1.6640625" style="1" customWidth="1"/>
    <col min="5647" max="5647" width="25.44140625" style="1" customWidth="1"/>
    <col min="5648" max="5648" width="20.6640625" style="1" customWidth="1"/>
    <col min="5649" max="5649" width="1.6640625" style="1" customWidth="1"/>
    <col min="5650" max="5651" width="25.44140625" style="1" customWidth="1"/>
    <col min="5652" max="5652" width="20.6640625" style="1" customWidth="1"/>
    <col min="5653" max="5653" width="1.6640625" style="1" customWidth="1"/>
    <col min="5654" max="5654" width="41.5546875" style="1" customWidth="1"/>
    <col min="5655" max="5655" width="11.5546875" style="1" customWidth="1"/>
    <col min="5656" max="5656" width="23" style="1" customWidth="1"/>
    <col min="5657" max="5660" width="18.6640625" style="1" customWidth="1"/>
    <col min="5661" max="5661" width="1.6640625" style="1" customWidth="1"/>
    <col min="5662" max="5887" width="9.109375" style="1"/>
    <col min="5888" max="5888" width="40" style="1" customWidth="1"/>
    <col min="5889" max="5889" width="11.5546875" style="1" customWidth="1"/>
    <col min="5890" max="5890" width="24" style="1" customWidth="1"/>
    <col min="5891" max="5894" width="15.88671875" style="1" customWidth="1"/>
    <col min="5895" max="5895" width="1.6640625" style="1" customWidth="1"/>
    <col min="5896" max="5897" width="26" style="1" customWidth="1"/>
    <col min="5898" max="5898" width="1.6640625" style="1" customWidth="1"/>
    <col min="5899" max="5901" width="18.6640625" style="1" customWidth="1"/>
    <col min="5902" max="5902" width="1.6640625" style="1" customWidth="1"/>
    <col min="5903" max="5903" width="25.44140625" style="1" customWidth="1"/>
    <col min="5904" max="5904" width="20.6640625" style="1" customWidth="1"/>
    <col min="5905" max="5905" width="1.6640625" style="1" customWidth="1"/>
    <col min="5906" max="5907" width="25.44140625" style="1" customWidth="1"/>
    <col min="5908" max="5908" width="20.6640625" style="1" customWidth="1"/>
    <col min="5909" max="5909" width="1.6640625" style="1" customWidth="1"/>
    <col min="5910" max="5910" width="41.5546875" style="1" customWidth="1"/>
    <col min="5911" max="5911" width="11.5546875" style="1" customWidth="1"/>
    <col min="5912" max="5912" width="23" style="1" customWidth="1"/>
    <col min="5913" max="5916" width="18.6640625" style="1" customWidth="1"/>
    <col min="5917" max="5917" width="1.6640625" style="1" customWidth="1"/>
    <col min="5918" max="6143" width="9.109375" style="1"/>
    <col min="6144" max="6144" width="40" style="1" customWidth="1"/>
    <col min="6145" max="6145" width="11.5546875" style="1" customWidth="1"/>
    <col min="6146" max="6146" width="24" style="1" customWidth="1"/>
    <col min="6147" max="6150" width="15.88671875" style="1" customWidth="1"/>
    <col min="6151" max="6151" width="1.6640625" style="1" customWidth="1"/>
    <col min="6152" max="6153" width="26" style="1" customWidth="1"/>
    <col min="6154" max="6154" width="1.6640625" style="1" customWidth="1"/>
    <col min="6155" max="6157" width="18.6640625" style="1" customWidth="1"/>
    <col min="6158" max="6158" width="1.6640625" style="1" customWidth="1"/>
    <col min="6159" max="6159" width="25.44140625" style="1" customWidth="1"/>
    <col min="6160" max="6160" width="20.6640625" style="1" customWidth="1"/>
    <col min="6161" max="6161" width="1.6640625" style="1" customWidth="1"/>
    <col min="6162" max="6163" width="25.44140625" style="1" customWidth="1"/>
    <col min="6164" max="6164" width="20.6640625" style="1" customWidth="1"/>
    <col min="6165" max="6165" width="1.6640625" style="1" customWidth="1"/>
    <col min="6166" max="6166" width="41.5546875" style="1" customWidth="1"/>
    <col min="6167" max="6167" width="11.5546875" style="1" customWidth="1"/>
    <col min="6168" max="6168" width="23" style="1" customWidth="1"/>
    <col min="6169" max="6172" width="18.6640625" style="1" customWidth="1"/>
    <col min="6173" max="6173" width="1.6640625" style="1" customWidth="1"/>
    <col min="6174" max="6399" width="9.109375" style="1"/>
    <col min="6400" max="6400" width="40" style="1" customWidth="1"/>
    <col min="6401" max="6401" width="11.5546875" style="1" customWidth="1"/>
    <col min="6402" max="6402" width="24" style="1" customWidth="1"/>
    <col min="6403" max="6406" width="15.88671875" style="1" customWidth="1"/>
    <col min="6407" max="6407" width="1.6640625" style="1" customWidth="1"/>
    <col min="6408" max="6409" width="26" style="1" customWidth="1"/>
    <col min="6410" max="6410" width="1.6640625" style="1" customWidth="1"/>
    <col min="6411" max="6413" width="18.6640625" style="1" customWidth="1"/>
    <col min="6414" max="6414" width="1.6640625" style="1" customWidth="1"/>
    <col min="6415" max="6415" width="25.44140625" style="1" customWidth="1"/>
    <col min="6416" max="6416" width="20.6640625" style="1" customWidth="1"/>
    <col min="6417" max="6417" width="1.6640625" style="1" customWidth="1"/>
    <col min="6418" max="6419" width="25.44140625" style="1" customWidth="1"/>
    <col min="6420" max="6420" width="20.6640625" style="1" customWidth="1"/>
    <col min="6421" max="6421" width="1.6640625" style="1" customWidth="1"/>
    <col min="6422" max="6422" width="41.5546875" style="1" customWidth="1"/>
    <col min="6423" max="6423" width="11.5546875" style="1" customWidth="1"/>
    <col min="6424" max="6424" width="23" style="1" customWidth="1"/>
    <col min="6425" max="6428" width="18.6640625" style="1" customWidth="1"/>
    <col min="6429" max="6429" width="1.6640625" style="1" customWidth="1"/>
    <col min="6430" max="6655" width="9.109375" style="1"/>
    <col min="6656" max="6656" width="40" style="1" customWidth="1"/>
    <col min="6657" max="6657" width="11.5546875" style="1" customWidth="1"/>
    <col min="6658" max="6658" width="24" style="1" customWidth="1"/>
    <col min="6659" max="6662" width="15.88671875" style="1" customWidth="1"/>
    <col min="6663" max="6663" width="1.6640625" style="1" customWidth="1"/>
    <col min="6664" max="6665" width="26" style="1" customWidth="1"/>
    <col min="6666" max="6666" width="1.6640625" style="1" customWidth="1"/>
    <col min="6667" max="6669" width="18.6640625" style="1" customWidth="1"/>
    <col min="6670" max="6670" width="1.6640625" style="1" customWidth="1"/>
    <col min="6671" max="6671" width="25.44140625" style="1" customWidth="1"/>
    <col min="6672" max="6672" width="20.6640625" style="1" customWidth="1"/>
    <col min="6673" max="6673" width="1.6640625" style="1" customWidth="1"/>
    <col min="6674" max="6675" width="25.44140625" style="1" customWidth="1"/>
    <col min="6676" max="6676" width="20.6640625" style="1" customWidth="1"/>
    <col min="6677" max="6677" width="1.6640625" style="1" customWidth="1"/>
    <col min="6678" max="6678" width="41.5546875" style="1" customWidth="1"/>
    <col min="6679" max="6679" width="11.5546875" style="1" customWidth="1"/>
    <col min="6680" max="6680" width="23" style="1" customWidth="1"/>
    <col min="6681" max="6684" width="18.6640625" style="1" customWidth="1"/>
    <col min="6685" max="6685" width="1.6640625" style="1" customWidth="1"/>
    <col min="6686" max="6911" width="9.109375" style="1"/>
    <col min="6912" max="6912" width="40" style="1" customWidth="1"/>
    <col min="6913" max="6913" width="11.5546875" style="1" customWidth="1"/>
    <col min="6914" max="6914" width="24" style="1" customWidth="1"/>
    <col min="6915" max="6918" width="15.88671875" style="1" customWidth="1"/>
    <col min="6919" max="6919" width="1.6640625" style="1" customWidth="1"/>
    <col min="6920" max="6921" width="26" style="1" customWidth="1"/>
    <col min="6922" max="6922" width="1.6640625" style="1" customWidth="1"/>
    <col min="6923" max="6925" width="18.6640625" style="1" customWidth="1"/>
    <col min="6926" max="6926" width="1.6640625" style="1" customWidth="1"/>
    <col min="6927" max="6927" width="25.44140625" style="1" customWidth="1"/>
    <col min="6928" max="6928" width="20.6640625" style="1" customWidth="1"/>
    <col min="6929" max="6929" width="1.6640625" style="1" customWidth="1"/>
    <col min="6930" max="6931" width="25.44140625" style="1" customWidth="1"/>
    <col min="6932" max="6932" width="20.6640625" style="1" customWidth="1"/>
    <col min="6933" max="6933" width="1.6640625" style="1" customWidth="1"/>
    <col min="6934" max="6934" width="41.5546875" style="1" customWidth="1"/>
    <col min="6935" max="6935" width="11.5546875" style="1" customWidth="1"/>
    <col min="6936" max="6936" width="23" style="1" customWidth="1"/>
    <col min="6937" max="6940" width="18.6640625" style="1" customWidth="1"/>
    <col min="6941" max="6941" width="1.6640625" style="1" customWidth="1"/>
    <col min="6942" max="7167" width="9.109375" style="1"/>
    <col min="7168" max="7168" width="40" style="1" customWidth="1"/>
    <col min="7169" max="7169" width="11.5546875" style="1" customWidth="1"/>
    <col min="7170" max="7170" width="24" style="1" customWidth="1"/>
    <col min="7171" max="7174" width="15.88671875" style="1" customWidth="1"/>
    <col min="7175" max="7175" width="1.6640625" style="1" customWidth="1"/>
    <col min="7176" max="7177" width="26" style="1" customWidth="1"/>
    <col min="7178" max="7178" width="1.6640625" style="1" customWidth="1"/>
    <col min="7179" max="7181" width="18.6640625" style="1" customWidth="1"/>
    <col min="7182" max="7182" width="1.6640625" style="1" customWidth="1"/>
    <col min="7183" max="7183" width="25.44140625" style="1" customWidth="1"/>
    <col min="7184" max="7184" width="20.6640625" style="1" customWidth="1"/>
    <col min="7185" max="7185" width="1.6640625" style="1" customWidth="1"/>
    <col min="7186" max="7187" width="25.44140625" style="1" customWidth="1"/>
    <col min="7188" max="7188" width="20.6640625" style="1" customWidth="1"/>
    <col min="7189" max="7189" width="1.6640625" style="1" customWidth="1"/>
    <col min="7190" max="7190" width="41.5546875" style="1" customWidth="1"/>
    <col min="7191" max="7191" width="11.5546875" style="1" customWidth="1"/>
    <col min="7192" max="7192" width="23" style="1" customWidth="1"/>
    <col min="7193" max="7196" width="18.6640625" style="1" customWidth="1"/>
    <col min="7197" max="7197" width="1.6640625" style="1" customWidth="1"/>
    <col min="7198" max="7423" width="9.109375" style="1"/>
    <col min="7424" max="7424" width="40" style="1" customWidth="1"/>
    <col min="7425" max="7425" width="11.5546875" style="1" customWidth="1"/>
    <col min="7426" max="7426" width="24" style="1" customWidth="1"/>
    <col min="7427" max="7430" width="15.88671875" style="1" customWidth="1"/>
    <col min="7431" max="7431" width="1.6640625" style="1" customWidth="1"/>
    <col min="7432" max="7433" width="26" style="1" customWidth="1"/>
    <col min="7434" max="7434" width="1.6640625" style="1" customWidth="1"/>
    <col min="7435" max="7437" width="18.6640625" style="1" customWidth="1"/>
    <col min="7438" max="7438" width="1.6640625" style="1" customWidth="1"/>
    <col min="7439" max="7439" width="25.44140625" style="1" customWidth="1"/>
    <col min="7440" max="7440" width="20.6640625" style="1" customWidth="1"/>
    <col min="7441" max="7441" width="1.6640625" style="1" customWidth="1"/>
    <col min="7442" max="7443" width="25.44140625" style="1" customWidth="1"/>
    <col min="7444" max="7444" width="20.6640625" style="1" customWidth="1"/>
    <col min="7445" max="7445" width="1.6640625" style="1" customWidth="1"/>
    <col min="7446" max="7446" width="41.5546875" style="1" customWidth="1"/>
    <col min="7447" max="7447" width="11.5546875" style="1" customWidth="1"/>
    <col min="7448" max="7448" width="23" style="1" customWidth="1"/>
    <col min="7449" max="7452" width="18.6640625" style="1" customWidth="1"/>
    <col min="7453" max="7453" width="1.6640625" style="1" customWidth="1"/>
    <col min="7454" max="7679" width="9.109375" style="1"/>
    <col min="7680" max="7680" width="40" style="1" customWidth="1"/>
    <col min="7681" max="7681" width="11.5546875" style="1" customWidth="1"/>
    <col min="7682" max="7682" width="24" style="1" customWidth="1"/>
    <col min="7683" max="7686" width="15.88671875" style="1" customWidth="1"/>
    <col min="7687" max="7687" width="1.6640625" style="1" customWidth="1"/>
    <col min="7688" max="7689" width="26" style="1" customWidth="1"/>
    <col min="7690" max="7690" width="1.6640625" style="1" customWidth="1"/>
    <col min="7691" max="7693" width="18.6640625" style="1" customWidth="1"/>
    <col min="7694" max="7694" width="1.6640625" style="1" customWidth="1"/>
    <col min="7695" max="7695" width="25.44140625" style="1" customWidth="1"/>
    <col min="7696" max="7696" width="20.6640625" style="1" customWidth="1"/>
    <col min="7697" max="7697" width="1.6640625" style="1" customWidth="1"/>
    <col min="7698" max="7699" width="25.44140625" style="1" customWidth="1"/>
    <col min="7700" max="7700" width="20.6640625" style="1" customWidth="1"/>
    <col min="7701" max="7701" width="1.6640625" style="1" customWidth="1"/>
    <col min="7702" max="7702" width="41.5546875" style="1" customWidth="1"/>
    <col min="7703" max="7703" width="11.5546875" style="1" customWidth="1"/>
    <col min="7704" max="7704" width="23" style="1" customWidth="1"/>
    <col min="7705" max="7708" width="18.6640625" style="1" customWidth="1"/>
    <col min="7709" max="7709" width="1.6640625" style="1" customWidth="1"/>
    <col min="7710" max="7935" width="9.109375" style="1"/>
    <col min="7936" max="7936" width="40" style="1" customWidth="1"/>
    <col min="7937" max="7937" width="11.5546875" style="1" customWidth="1"/>
    <col min="7938" max="7938" width="24" style="1" customWidth="1"/>
    <col min="7939" max="7942" width="15.88671875" style="1" customWidth="1"/>
    <col min="7943" max="7943" width="1.6640625" style="1" customWidth="1"/>
    <col min="7944" max="7945" width="26" style="1" customWidth="1"/>
    <col min="7946" max="7946" width="1.6640625" style="1" customWidth="1"/>
    <col min="7947" max="7949" width="18.6640625" style="1" customWidth="1"/>
    <col min="7950" max="7950" width="1.6640625" style="1" customWidth="1"/>
    <col min="7951" max="7951" width="25.44140625" style="1" customWidth="1"/>
    <col min="7952" max="7952" width="20.6640625" style="1" customWidth="1"/>
    <col min="7953" max="7953" width="1.6640625" style="1" customWidth="1"/>
    <col min="7954" max="7955" width="25.44140625" style="1" customWidth="1"/>
    <col min="7956" max="7956" width="20.6640625" style="1" customWidth="1"/>
    <col min="7957" max="7957" width="1.6640625" style="1" customWidth="1"/>
    <col min="7958" max="7958" width="41.5546875" style="1" customWidth="1"/>
    <col min="7959" max="7959" width="11.5546875" style="1" customWidth="1"/>
    <col min="7960" max="7960" width="23" style="1" customWidth="1"/>
    <col min="7961" max="7964" width="18.6640625" style="1" customWidth="1"/>
    <col min="7965" max="7965" width="1.6640625" style="1" customWidth="1"/>
    <col min="7966" max="8191" width="9.109375" style="1"/>
    <col min="8192" max="8192" width="40" style="1" customWidth="1"/>
    <col min="8193" max="8193" width="11.5546875" style="1" customWidth="1"/>
    <col min="8194" max="8194" width="24" style="1" customWidth="1"/>
    <col min="8195" max="8198" width="15.88671875" style="1" customWidth="1"/>
    <col min="8199" max="8199" width="1.6640625" style="1" customWidth="1"/>
    <col min="8200" max="8201" width="26" style="1" customWidth="1"/>
    <col min="8202" max="8202" width="1.6640625" style="1" customWidth="1"/>
    <col min="8203" max="8205" width="18.6640625" style="1" customWidth="1"/>
    <col min="8206" max="8206" width="1.6640625" style="1" customWidth="1"/>
    <col min="8207" max="8207" width="25.44140625" style="1" customWidth="1"/>
    <col min="8208" max="8208" width="20.6640625" style="1" customWidth="1"/>
    <col min="8209" max="8209" width="1.6640625" style="1" customWidth="1"/>
    <col min="8210" max="8211" width="25.44140625" style="1" customWidth="1"/>
    <col min="8212" max="8212" width="20.6640625" style="1" customWidth="1"/>
    <col min="8213" max="8213" width="1.6640625" style="1" customWidth="1"/>
    <col min="8214" max="8214" width="41.5546875" style="1" customWidth="1"/>
    <col min="8215" max="8215" width="11.5546875" style="1" customWidth="1"/>
    <col min="8216" max="8216" width="23" style="1" customWidth="1"/>
    <col min="8217" max="8220" width="18.6640625" style="1" customWidth="1"/>
    <col min="8221" max="8221" width="1.6640625" style="1" customWidth="1"/>
    <col min="8222" max="8447" width="9.109375" style="1"/>
    <col min="8448" max="8448" width="40" style="1" customWidth="1"/>
    <col min="8449" max="8449" width="11.5546875" style="1" customWidth="1"/>
    <col min="8450" max="8450" width="24" style="1" customWidth="1"/>
    <col min="8451" max="8454" width="15.88671875" style="1" customWidth="1"/>
    <col min="8455" max="8455" width="1.6640625" style="1" customWidth="1"/>
    <col min="8456" max="8457" width="26" style="1" customWidth="1"/>
    <col min="8458" max="8458" width="1.6640625" style="1" customWidth="1"/>
    <col min="8459" max="8461" width="18.6640625" style="1" customWidth="1"/>
    <col min="8462" max="8462" width="1.6640625" style="1" customWidth="1"/>
    <col min="8463" max="8463" width="25.44140625" style="1" customWidth="1"/>
    <col min="8464" max="8464" width="20.6640625" style="1" customWidth="1"/>
    <col min="8465" max="8465" width="1.6640625" style="1" customWidth="1"/>
    <col min="8466" max="8467" width="25.44140625" style="1" customWidth="1"/>
    <col min="8468" max="8468" width="20.6640625" style="1" customWidth="1"/>
    <col min="8469" max="8469" width="1.6640625" style="1" customWidth="1"/>
    <col min="8470" max="8470" width="41.5546875" style="1" customWidth="1"/>
    <col min="8471" max="8471" width="11.5546875" style="1" customWidth="1"/>
    <col min="8472" max="8472" width="23" style="1" customWidth="1"/>
    <col min="8473" max="8476" width="18.6640625" style="1" customWidth="1"/>
    <col min="8477" max="8477" width="1.6640625" style="1" customWidth="1"/>
    <col min="8478" max="8703" width="9.109375" style="1"/>
    <col min="8704" max="8704" width="40" style="1" customWidth="1"/>
    <col min="8705" max="8705" width="11.5546875" style="1" customWidth="1"/>
    <col min="8706" max="8706" width="24" style="1" customWidth="1"/>
    <col min="8707" max="8710" width="15.88671875" style="1" customWidth="1"/>
    <col min="8711" max="8711" width="1.6640625" style="1" customWidth="1"/>
    <col min="8712" max="8713" width="26" style="1" customWidth="1"/>
    <col min="8714" max="8714" width="1.6640625" style="1" customWidth="1"/>
    <col min="8715" max="8717" width="18.6640625" style="1" customWidth="1"/>
    <col min="8718" max="8718" width="1.6640625" style="1" customWidth="1"/>
    <col min="8719" max="8719" width="25.44140625" style="1" customWidth="1"/>
    <col min="8720" max="8720" width="20.6640625" style="1" customWidth="1"/>
    <col min="8721" max="8721" width="1.6640625" style="1" customWidth="1"/>
    <col min="8722" max="8723" width="25.44140625" style="1" customWidth="1"/>
    <col min="8724" max="8724" width="20.6640625" style="1" customWidth="1"/>
    <col min="8725" max="8725" width="1.6640625" style="1" customWidth="1"/>
    <col min="8726" max="8726" width="41.5546875" style="1" customWidth="1"/>
    <col min="8727" max="8727" width="11.5546875" style="1" customWidth="1"/>
    <col min="8728" max="8728" width="23" style="1" customWidth="1"/>
    <col min="8729" max="8732" width="18.6640625" style="1" customWidth="1"/>
    <col min="8733" max="8733" width="1.6640625" style="1" customWidth="1"/>
    <col min="8734" max="8959" width="9.109375" style="1"/>
    <col min="8960" max="8960" width="40" style="1" customWidth="1"/>
    <col min="8961" max="8961" width="11.5546875" style="1" customWidth="1"/>
    <col min="8962" max="8962" width="24" style="1" customWidth="1"/>
    <col min="8963" max="8966" width="15.88671875" style="1" customWidth="1"/>
    <col min="8967" max="8967" width="1.6640625" style="1" customWidth="1"/>
    <col min="8968" max="8969" width="26" style="1" customWidth="1"/>
    <col min="8970" max="8970" width="1.6640625" style="1" customWidth="1"/>
    <col min="8971" max="8973" width="18.6640625" style="1" customWidth="1"/>
    <col min="8974" max="8974" width="1.6640625" style="1" customWidth="1"/>
    <col min="8975" max="8975" width="25.44140625" style="1" customWidth="1"/>
    <col min="8976" max="8976" width="20.6640625" style="1" customWidth="1"/>
    <col min="8977" max="8977" width="1.6640625" style="1" customWidth="1"/>
    <col min="8978" max="8979" width="25.44140625" style="1" customWidth="1"/>
    <col min="8980" max="8980" width="20.6640625" style="1" customWidth="1"/>
    <col min="8981" max="8981" width="1.6640625" style="1" customWidth="1"/>
    <col min="8982" max="8982" width="41.5546875" style="1" customWidth="1"/>
    <col min="8983" max="8983" width="11.5546875" style="1" customWidth="1"/>
    <col min="8984" max="8984" width="23" style="1" customWidth="1"/>
    <col min="8985" max="8988" width="18.6640625" style="1" customWidth="1"/>
    <col min="8989" max="8989" width="1.6640625" style="1" customWidth="1"/>
    <col min="8990" max="9215" width="9.109375" style="1"/>
    <col min="9216" max="9216" width="40" style="1" customWidth="1"/>
    <col min="9217" max="9217" width="11.5546875" style="1" customWidth="1"/>
    <col min="9218" max="9218" width="24" style="1" customWidth="1"/>
    <col min="9219" max="9222" width="15.88671875" style="1" customWidth="1"/>
    <col min="9223" max="9223" width="1.6640625" style="1" customWidth="1"/>
    <col min="9224" max="9225" width="26" style="1" customWidth="1"/>
    <col min="9226" max="9226" width="1.6640625" style="1" customWidth="1"/>
    <col min="9227" max="9229" width="18.6640625" style="1" customWidth="1"/>
    <col min="9230" max="9230" width="1.6640625" style="1" customWidth="1"/>
    <col min="9231" max="9231" width="25.44140625" style="1" customWidth="1"/>
    <col min="9232" max="9232" width="20.6640625" style="1" customWidth="1"/>
    <col min="9233" max="9233" width="1.6640625" style="1" customWidth="1"/>
    <col min="9234" max="9235" width="25.44140625" style="1" customWidth="1"/>
    <col min="9236" max="9236" width="20.6640625" style="1" customWidth="1"/>
    <col min="9237" max="9237" width="1.6640625" style="1" customWidth="1"/>
    <col min="9238" max="9238" width="41.5546875" style="1" customWidth="1"/>
    <col min="9239" max="9239" width="11.5546875" style="1" customWidth="1"/>
    <col min="9240" max="9240" width="23" style="1" customWidth="1"/>
    <col min="9241" max="9244" width="18.6640625" style="1" customWidth="1"/>
    <col min="9245" max="9245" width="1.6640625" style="1" customWidth="1"/>
    <col min="9246" max="9471" width="9.109375" style="1"/>
    <col min="9472" max="9472" width="40" style="1" customWidth="1"/>
    <col min="9473" max="9473" width="11.5546875" style="1" customWidth="1"/>
    <col min="9474" max="9474" width="24" style="1" customWidth="1"/>
    <col min="9475" max="9478" width="15.88671875" style="1" customWidth="1"/>
    <col min="9479" max="9479" width="1.6640625" style="1" customWidth="1"/>
    <col min="9480" max="9481" width="26" style="1" customWidth="1"/>
    <col min="9482" max="9482" width="1.6640625" style="1" customWidth="1"/>
    <col min="9483" max="9485" width="18.6640625" style="1" customWidth="1"/>
    <col min="9486" max="9486" width="1.6640625" style="1" customWidth="1"/>
    <col min="9487" max="9487" width="25.44140625" style="1" customWidth="1"/>
    <col min="9488" max="9488" width="20.6640625" style="1" customWidth="1"/>
    <col min="9489" max="9489" width="1.6640625" style="1" customWidth="1"/>
    <col min="9490" max="9491" width="25.44140625" style="1" customWidth="1"/>
    <col min="9492" max="9492" width="20.6640625" style="1" customWidth="1"/>
    <col min="9493" max="9493" width="1.6640625" style="1" customWidth="1"/>
    <col min="9494" max="9494" width="41.5546875" style="1" customWidth="1"/>
    <col min="9495" max="9495" width="11.5546875" style="1" customWidth="1"/>
    <col min="9496" max="9496" width="23" style="1" customWidth="1"/>
    <col min="9497" max="9500" width="18.6640625" style="1" customWidth="1"/>
    <col min="9501" max="9501" width="1.6640625" style="1" customWidth="1"/>
    <col min="9502" max="9727" width="9.109375" style="1"/>
    <col min="9728" max="9728" width="40" style="1" customWidth="1"/>
    <col min="9729" max="9729" width="11.5546875" style="1" customWidth="1"/>
    <col min="9730" max="9730" width="24" style="1" customWidth="1"/>
    <col min="9731" max="9734" width="15.88671875" style="1" customWidth="1"/>
    <col min="9735" max="9735" width="1.6640625" style="1" customWidth="1"/>
    <col min="9736" max="9737" width="26" style="1" customWidth="1"/>
    <col min="9738" max="9738" width="1.6640625" style="1" customWidth="1"/>
    <col min="9739" max="9741" width="18.6640625" style="1" customWidth="1"/>
    <col min="9742" max="9742" width="1.6640625" style="1" customWidth="1"/>
    <col min="9743" max="9743" width="25.44140625" style="1" customWidth="1"/>
    <col min="9744" max="9744" width="20.6640625" style="1" customWidth="1"/>
    <col min="9745" max="9745" width="1.6640625" style="1" customWidth="1"/>
    <col min="9746" max="9747" width="25.44140625" style="1" customWidth="1"/>
    <col min="9748" max="9748" width="20.6640625" style="1" customWidth="1"/>
    <col min="9749" max="9749" width="1.6640625" style="1" customWidth="1"/>
    <col min="9750" max="9750" width="41.5546875" style="1" customWidth="1"/>
    <col min="9751" max="9751" width="11.5546875" style="1" customWidth="1"/>
    <col min="9752" max="9752" width="23" style="1" customWidth="1"/>
    <col min="9753" max="9756" width="18.6640625" style="1" customWidth="1"/>
    <col min="9757" max="9757" width="1.6640625" style="1" customWidth="1"/>
    <col min="9758" max="9983" width="9.109375" style="1"/>
    <col min="9984" max="9984" width="40" style="1" customWidth="1"/>
    <col min="9985" max="9985" width="11.5546875" style="1" customWidth="1"/>
    <col min="9986" max="9986" width="24" style="1" customWidth="1"/>
    <col min="9987" max="9990" width="15.88671875" style="1" customWidth="1"/>
    <col min="9991" max="9991" width="1.6640625" style="1" customWidth="1"/>
    <col min="9992" max="9993" width="26" style="1" customWidth="1"/>
    <col min="9994" max="9994" width="1.6640625" style="1" customWidth="1"/>
    <col min="9995" max="9997" width="18.6640625" style="1" customWidth="1"/>
    <col min="9998" max="9998" width="1.6640625" style="1" customWidth="1"/>
    <col min="9999" max="9999" width="25.44140625" style="1" customWidth="1"/>
    <col min="10000" max="10000" width="20.6640625" style="1" customWidth="1"/>
    <col min="10001" max="10001" width="1.6640625" style="1" customWidth="1"/>
    <col min="10002" max="10003" width="25.44140625" style="1" customWidth="1"/>
    <col min="10004" max="10004" width="20.6640625" style="1" customWidth="1"/>
    <col min="10005" max="10005" width="1.6640625" style="1" customWidth="1"/>
    <col min="10006" max="10006" width="41.5546875" style="1" customWidth="1"/>
    <col min="10007" max="10007" width="11.5546875" style="1" customWidth="1"/>
    <col min="10008" max="10008" width="23" style="1" customWidth="1"/>
    <col min="10009" max="10012" width="18.6640625" style="1" customWidth="1"/>
    <col min="10013" max="10013" width="1.6640625" style="1" customWidth="1"/>
    <col min="10014" max="10239" width="9.109375" style="1"/>
    <col min="10240" max="10240" width="40" style="1" customWidth="1"/>
    <col min="10241" max="10241" width="11.5546875" style="1" customWidth="1"/>
    <col min="10242" max="10242" width="24" style="1" customWidth="1"/>
    <col min="10243" max="10246" width="15.88671875" style="1" customWidth="1"/>
    <col min="10247" max="10247" width="1.6640625" style="1" customWidth="1"/>
    <col min="10248" max="10249" width="26" style="1" customWidth="1"/>
    <col min="10250" max="10250" width="1.6640625" style="1" customWidth="1"/>
    <col min="10251" max="10253" width="18.6640625" style="1" customWidth="1"/>
    <col min="10254" max="10254" width="1.6640625" style="1" customWidth="1"/>
    <col min="10255" max="10255" width="25.44140625" style="1" customWidth="1"/>
    <col min="10256" max="10256" width="20.6640625" style="1" customWidth="1"/>
    <col min="10257" max="10257" width="1.6640625" style="1" customWidth="1"/>
    <col min="10258" max="10259" width="25.44140625" style="1" customWidth="1"/>
    <col min="10260" max="10260" width="20.6640625" style="1" customWidth="1"/>
    <col min="10261" max="10261" width="1.6640625" style="1" customWidth="1"/>
    <col min="10262" max="10262" width="41.5546875" style="1" customWidth="1"/>
    <col min="10263" max="10263" width="11.5546875" style="1" customWidth="1"/>
    <col min="10264" max="10264" width="23" style="1" customWidth="1"/>
    <col min="10265" max="10268" width="18.6640625" style="1" customWidth="1"/>
    <col min="10269" max="10269" width="1.6640625" style="1" customWidth="1"/>
    <col min="10270" max="10495" width="9.109375" style="1"/>
    <col min="10496" max="10496" width="40" style="1" customWidth="1"/>
    <col min="10497" max="10497" width="11.5546875" style="1" customWidth="1"/>
    <col min="10498" max="10498" width="24" style="1" customWidth="1"/>
    <col min="10499" max="10502" width="15.88671875" style="1" customWidth="1"/>
    <col min="10503" max="10503" width="1.6640625" style="1" customWidth="1"/>
    <col min="10504" max="10505" width="26" style="1" customWidth="1"/>
    <col min="10506" max="10506" width="1.6640625" style="1" customWidth="1"/>
    <col min="10507" max="10509" width="18.6640625" style="1" customWidth="1"/>
    <col min="10510" max="10510" width="1.6640625" style="1" customWidth="1"/>
    <col min="10511" max="10511" width="25.44140625" style="1" customWidth="1"/>
    <col min="10512" max="10512" width="20.6640625" style="1" customWidth="1"/>
    <col min="10513" max="10513" width="1.6640625" style="1" customWidth="1"/>
    <col min="10514" max="10515" width="25.44140625" style="1" customWidth="1"/>
    <col min="10516" max="10516" width="20.6640625" style="1" customWidth="1"/>
    <col min="10517" max="10517" width="1.6640625" style="1" customWidth="1"/>
    <col min="10518" max="10518" width="41.5546875" style="1" customWidth="1"/>
    <col min="10519" max="10519" width="11.5546875" style="1" customWidth="1"/>
    <col min="10520" max="10520" width="23" style="1" customWidth="1"/>
    <col min="10521" max="10524" width="18.6640625" style="1" customWidth="1"/>
    <col min="10525" max="10525" width="1.6640625" style="1" customWidth="1"/>
    <col min="10526" max="10751" width="9.109375" style="1"/>
    <col min="10752" max="10752" width="40" style="1" customWidth="1"/>
    <col min="10753" max="10753" width="11.5546875" style="1" customWidth="1"/>
    <col min="10754" max="10754" width="24" style="1" customWidth="1"/>
    <col min="10755" max="10758" width="15.88671875" style="1" customWidth="1"/>
    <col min="10759" max="10759" width="1.6640625" style="1" customWidth="1"/>
    <col min="10760" max="10761" width="26" style="1" customWidth="1"/>
    <col min="10762" max="10762" width="1.6640625" style="1" customWidth="1"/>
    <col min="10763" max="10765" width="18.6640625" style="1" customWidth="1"/>
    <col min="10766" max="10766" width="1.6640625" style="1" customWidth="1"/>
    <col min="10767" max="10767" width="25.44140625" style="1" customWidth="1"/>
    <col min="10768" max="10768" width="20.6640625" style="1" customWidth="1"/>
    <col min="10769" max="10769" width="1.6640625" style="1" customWidth="1"/>
    <col min="10770" max="10771" width="25.44140625" style="1" customWidth="1"/>
    <col min="10772" max="10772" width="20.6640625" style="1" customWidth="1"/>
    <col min="10773" max="10773" width="1.6640625" style="1" customWidth="1"/>
    <col min="10774" max="10774" width="41.5546875" style="1" customWidth="1"/>
    <col min="10775" max="10775" width="11.5546875" style="1" customWidth="1"/>
    <col min="10776" max="10776" width="23" style="1" customWidth="1"/>
    <col min="10777" max="10780" width="18.6640625" style="1" customWidth="1"/>
    <col min="10781" max="10781" width="1.6640625" style="1" customWidth="1"/>
    <col min="10782" max="11007" width="9.109375" style="1"/>
    <col min="11008" max="11008" width="40" style="1" customWidth="1"/>
    <col min="11009" max="11009" width="11.5546875" style="1" customWidth="1"/>
    <col min="11010" max="11010" width="24" style="1" customWidth="1"/>
    <col min="11011" max="11014" width="15.88671875" style="1" customWidth="1"/>
    <col min="11015" max="11015" width="1.6640625" style="1" customWidth="1"/>
    <col min="11016" max="11017" width="26" style="1" customWidth="1"/>
    <col min="11018" max="11018" width="1.6640625" style="1" customWidth="1"/>
    <col min="11019" max="11021" width="18.6640625" style="1" customWidth="1"/>
    <col min="11022" max="11022" width="1.6640625" style="1" customWidth="1"/>
    <col min="11023" max="11023" width="25.44140625" style="1" customWidth="1"/>
    <col min="11024" max="11024" width="20.6640625" style="1" customWidth="1"/>
    <col min="11025" max="11025" width="1.6640625" style="1" customWidth="1"/>
    <col min="11026" max="11027" width="25.44140625" style="1" customWidth="1"/>
    <col min="11028" max="11028" width="20.6640625" style="1" customWidth="1"/>
    <col min="11029" max="11029" width="1.6640625" style="1" customWidth="1"/>
    <col min="11030" max="11030" width="41.5546875" style="1" customWidth="1"/>
    <col min="11031" max="11031" width="11.5546875" style="1" customWidth="1"/>
    <col min="11032" max="11032" width="23" style="1" customWidth="1"/>
    <col min="11033" max="11036" width="18.6640625" style="1" customWidth="1"/>
    <col min="11037" max="11037" width="1.6640625" style="1" customWidth="1"/>
    <col min="11038" max="11263" width="9.109375" style="1"/>
    <col min="11264" max="11264" width="40" style="1" customWidth="1"/>
    <col min="11265" max="11265" width="11.5546875" style="1" customWidth="1"/>
    <col min="11266" max="11266" width="24" style="1" customWidth="1"/>
    <col min="11267" max="11270" width="15.88671875" style="1" customWidth="1"/>
    <col min="11271" max="11271" width="1.6640625" style="1" customWidth="1"/>
    <col min="11272" max="11273" width="26" style="1" customWidth="1"/>
    <col min="11274" max="11274" width="1.6640625" style="1" customWidth="1"/>
    <col min="11275" max="11277" width="18.6640625" style="1" customWidth="1"/>
    <col min="11278" max="11278" width="1.6640625" style="1" customWidth="1"/>
    <col min="11279" max="11279" width="25.44140625" style="1" customWidth="1"/>
    <col min="11280" max="11280" width="20.6640625" style="1" customWidth="1"/>
    <col min="11281" max="11281" width="1.6640625" style="1" customWidth="1"/>
    <col min="11282" max="11283" width="25.44140625" style="1" customWidth="1"/>
    <col min="11284" max="11284" width="20.6640625" style="1" customWidth="1"/>
    <col min="11285" max="11285" width="1.6640625" style="1" customWidth="1"/>
    <col min="11286" max="11286" width="41.5546875" style="1" customWidth="1"/>
    <col min="11287" max="11287" width="11.5546875" style="1" customWidth="1"/>
    <col min="11288" max="11288" width="23" style="1" customWidth="1"/>
    <col min="11289" max="11292" width="18.6640625" style="1" customWidth="1"/>
    <col min="11293" max="11293" width="1.6640625" style="1" customWidth="1"/>
    <col min="11294" max="11519" width="9.109375" style="1"/>
    <col min="11520" max="11520" width="40" style="1" customWidth="1"/>
    <col min="11521" max="11521" width="11.5546875" style="1" customWidth="1"/>
    <col min="11522" max="11522" width="24" style="1" customWidth="1"/>
    <col min="11523" max="11526" width="15.88671875" style="1" customWidth="1"/>
    <col min="11527" max="11527" width="1.6640625" style="1" customWidth="1"/>
    <col min="11528" max="11529" width="26" style="1" customWidth="1"/>
    <col min="11530" max="11530" width="1.6640625" style="1" customWidth="1"/>
    <col min="11531" max="11533" width="18.6640625" style="1" customWidth="1"/>
    <col min="11534" max="11534" width="1.6640625" style="1" customWidth="1"/>
    <col min="11535" max="11535" width="25.44140625" style="1" customWidth="1"/>
    <col min="11536" max="11536" width="20.6640625" style="1" customWidth="1"/>
    <col min="11537" max="11537" width="1.6640625" style="1" customWidth="1"/>
    <col min="11538" max="11539" width="25.44140625" style="1" customWidth="1"/>
    <col min="11540" max="11540" width="20.6640625" style="1" customWidth="1"/>
    <col min="11541" max="11541" width="1.6640625" style="1" customWidth="1"/>
    <col min="11542" max="11542" width="41.5546875" style="1" customWidth="1"/>
    <col min="11543" max="11543" width="11.5546875" style="1" customWidth="1"/>
    <col min="11544" max="11544" width="23" style="1" customWidth="1"/>
    <col min="11545" max="11548" width="18.6640625" style="1" customWidth="1"/>
    <col min="11549" max="11549" width="1.6640625" style="1" customWidth="1"/>
    <col min="11550" max="11775" width="9.109375" style="1"/>
    <col min="11776" max="11776" width="40" style="1" customWidth="1"/>
    <col min="11777" max="11777" width="11.5546875" style="1" customWidth="1"/>
    <col min="11778" max="11778" width="24" style="1" customWidth="1"/>
    <col min="11779" max="11782" width="15.88671875" style="1" customWidth="1"/>
    <col min="11783" max="11783" width="1.6640625" style="1" customWidth="1"/>
    <col min="11784" max="11785" width="26" style="1" customWidth="1"/>
    <col min="11786" max="11786" width="1.6640625" style="1" customWidth="1"/>
    <col min="11787" max="11789" width="18.6640625" style="1" customWidth="1"/>
    <col min="11790" max="11790" width="1.6640625" style="1" customWidth="1"/>
    <col min="11791" max="11791" width="25.44140625" style="1" customWidth="1"/>
    <col min="11792" max="11792" width="20.6640625" style="1" customWidth="1"/>
    <col min="11793" max="11793" width="1.6640625" style="1" customWidth="1"/>
    <col min="11794" max="11795" width="25.44140625" style="1" customWidth="1"/>
    <col min="11796" max="11796" width="20.6640625" style="1" customWidth="1"/>
    <col min="11797" max="11797" width="1.6640625" style="1" customWidth="1"/>
    <col min="11798" max="11798" width="41.5546875" style="1" customWidth="1"/>
    <col min="11799" max="11799" width="11.5546875" style="1" customWidth="1"/>
    <col min="11800" max="11800" width="23" style="1" customWidth="1"/>
    <col min="11801" max="11804" width="18.6640625" style="1" customWidth="1"/>
    <col min="11805" max="11805" width="1.6640625" style="1" customWidth="1"/>
    <col min="11806" max="12031" width="9.109375" style="1"/>
    <col min="12032" max="12032" width="40" style="1" customWidth="1"/>
    <col min="12033" max="12033" width="11.5546875" style="1" customWidth="1"/>
    <col min="12034" max="12034" width="24" style="1" customWidth="1"/>
    <col min="12035" max="12038" width="15.88671875" style="1" customWidth="1"/>
    <col min="12039" max="12039" width="1.6640625" style="1" customWidth="1"/>
    <col min="12040" max="12041" width="26" style="1" customWidth="1"/>
    <col min="12042" max="12042" width="1.6640625" style="1" customWidth="1"/>
    <col min="12043" max="12045" width="18.6640625" style="1" customWidth="1"/>
    <col min="12046" max="12046" width="1.6640625" style="1" customWidth="1"/>
    <col min="12047" max="12047" width="25.44140625" style="1" customWidth="1"/>
    <col min="12048" max="12048" width="20.6640625" style="1" customWidth="1"/>
    <col min="12049" max="12049" width="1.6640625" style="1" customWidth="1"/>
    <col min="12050" max="12051" width="25.44140625" style="1" customWidth="1"/>
    <col min="12052" max="12052" width="20.6640625" style="1" customWidth="1"/>
    <col min="12053" max="12053" width="1.6640625" style="1" customWidth="1"/>
    <col min="12054" max="12054" width="41.5546875" style="1" customWidth="1"/>
    <col min="12055" max="12055" width="11.5546875" style="1" customWidth="1"/>
    <col min="12056" max="12056" width="23" style="1" customWidth="1"/>
    <col min="12057" max="12060" width="18.6640625" style="1" customWidth="1"/>
    <col min="12061" max="12061" width="1.6640625" style="1" customWidth="1"/>
    <col min="12062" max="12287" width="9.109375" style="1"/>
    <col min="12288" max="12288" width="40" style="1" customWidth="1"/>
    <col min="12289" max="12289" width="11.5546875" style="1" customWidth="1"/>
    <col min="12290" max="12290" width="24" style="1" customWidth="1"/>
    <col min="12291" max="12294" width="15.88671875" style="1" customWidth="1"/>
    <col min="12295" max="12295" width="1.6640625" style="1" customWidth="1"/>
    <col min="12296" max="12297" width="26" style="1" customWidth="1"/>
    <col min="12298" max="12298" width="1.6640625" style="1" customWidth="1"/>
    <col min="12299" max="12301" width="18.6640625" style="1" customWidth="1"/>
    <col min="12302" max="12302" width="1.6640625" style="1" customWidth="1"/>
    <col min="12303" max="12303" width="25.44140625" style="1" customWidth="1"/>
    <col min="12304" max="12304" width="20.6640625" style="1" customWidth="1"/>
    <col min="12305" max="12305" width="1.6640625" style="1" customWidth="1"/>
    <col min="12306" max="12307" width="25.44140625" style="1" customWidth="1"/>
    <col min="12308" max="12308" width="20.6640625" style="1" customWidth="1"/>
    <col min="12309" max="12309" width="1.6640625" style="1" customWidth="1"/>
    <col min="12310" max="12310" width="41.5546875" style="1" customWidth="1"/>
    <col min="12311" max="12311" width="11.5546875" style="1" customWidth="1"/>
    <col min="12312" max="12312" width="23" style="1" customWidth="1"/>
    <col min="12313" max="12316" width="18.6640625" style="1" customWidth="1"/>
    <col min="12317" max="12317" width="1.6640625" style="1" customWidth="1"/>
    <col min="12318" max="12543" width="9.109375" style="1"/>
    <col min="12544" max="12544" width="40" style="1" customWidth="1"/>
    <col min="12545" max="12545" width="11.5546875" style="1" customWidth="1"/>
    <col min="12546" max="12546" width="24" style="1" customWidth="1"/>
    <col min="12547" max="12550" width="15.88671875" style="1" customWidth="1"/>
    <col min="12551" max="12551" width="1.6640625" style="1" customWidth="1"/>
    <col min="12552" max="12553" width="26" style="1" customWidth="1"/>
    <col min="12554" max="12554" width="1.6640625" style="1" customWidth="1"/>
    <col min="12555" max="12557" width="18.6640625" style="1" customWidth="1"/>
    <col min="12558" max="12558" width="1.6640625" style="1" customWidth="1"/>
    <col min="12559" max="12559" width="25.44140625" style="1" customWidth="1"/>
    <col min="12560" max="12560" width="20.6640625" style="1" customWidth="1"/>
    <col min="12561" max="12561" width="1.6640625" style="1" customWidth="1"/>
    <col min="12562" max="12563" width="25.44140625" style="1" customWidth="1"/>
    <col min="12564" max="12564" width="20.6640625" style="1" customWidth="1"/>
    <col min="12565" max="12565" width="1.6640625" style="1" customWidth="1"/>
    <col min="12566" max="12566" width="41.5546875" style="1" customWidth="1"/>
    <col min="12567" max="12567" width="11.5546875" style="1" customWidth="1"/>
    <col min="12568" max="12568" width="23" style="1" customWidth="1"/>
    <col min="12569" max="12572" width="18.6640625" style="1" customWidth="1"/>
    <col min="12573" max="12573" width="1.6640625" style="1" customWidth="1"/>
    <col min="12574" max="12799" width="9.109375" style="1"/>
    <col min="12800" max="12800" width="40" style="1" customWidth="1"/>
    <col min="12801" max="12801" width="11.5546875" style="1" customWidth="1"/>
    <col min="12802" max="12802" width="24" style="1" customWidth="1"/>
    <col min="12803" max="12806" width="15.88671875" style="1" customWidth="1"/>
    <col min="12807" max="12807" width="1.6640625" style="1" customWidth="1"/>
    <col min="12808" max="12809" width="26" style="1" customWidth="1"/>
    <col min="12810" max="12810" width="1.6640625" style="1" customWidth="1"/>
    <col min="12811" max="12813" width="18.6640625" style="1" customWidth="1"/>
    <col min="12814" max="12814" width="1.6640625" style="1" customWidth="1"/>
    <col min="12815" max="12815" width="25.44140625" style="1" customWidth="1"/>
    <col min="12816" max="12816" width="20.6640625" style="1" customWidth="1"/>
    <col min="12817" max="12817" width="1.6640625" style="1" customWidth="1"/>
    <col min="12818" max="12819" width="25.44140625" style="1" customWidth="1"/>
    <col min="12820" max="12820" width="20.6640625" style="1" customWidth="1"/>
    <col min="12821" max="12821" width="1.6640625" style="1" customWidth="1"/>
    <col min="12822" max="12822" width="41.5546875" style="1" customWidth="1"/>
    <col min="12823" max="12823" width="11.5546875" style="1" customWidth="1"/>
    <col min="12824" max="12824" width="23" style="1" customWidth="1"/>
    <col min="12825" max="12828" width="18.6640625" style="1" customWidth="1"/>
    <col min="12829" max="12829" width="1.6640625" style="1" customWidth="1"/>
    <col min="12830" max="13055" width="9.109375" style="1"/>
    <col min="13056" max="13056" width="40" style="1" customWidth="1"/>
    <col min="13057" max="13057" width="11.5546875" style="1" customWidth="1"/>
    <col min="13058" max="13058" width="24" style="1" customWidth="1"/>
    <col min="13059" max="13062" width="15.88671875" style="1" customWidth="1"/>
    <col min="13063" max="13063" width="1.6640625" style="1" customWidth="1"/>
    <col min="13064" max="13065" width="26" style="1" customWidth="1"/>
    <col min="13066" max="13066" width="1.6640625" style="1" customWidth="1"/>
    <col min="13067" max="13069" width="18.6640625" style="1" customWidth="1"/>
    <col min="13070" max="13070" width="1.6640625" style="1" customWidth="1"/>
    <col min="13071" max="13071" width="25.44140625" style="1" customWidth="1"/>
    <col min="13072" max="13072" width="20.6640625" style="1" customWidth="1"/>
    <col min="13073" max="13073" width="1.6640625" style="1" customWidth="1"/>
    <col min="13074" max="13075" width="25.44140625" style="1" customWidth="1"/>
    <col min="13076" max="13076" width="20.6640625" style="1" customWidth="1"/>
    <col min="13077" max="13077" width="1.6640625" style="1" customWidth="1"/>
    <col min="13078" max="13078" width="41.5546875" style="1" customWidth="1"/>
    <col min="13079" max="13079" width="11.5546875" style="1" customWidth="1"/>
    <col min="13080" max="13080" width="23" style="1" customWidth="1"/>
    <col min="13081" max="13084" width="18.6640625" style="1" customWidth="1"/>
    <col min="13085" max="13085" width="1.6640625" style="1" customWidth="1"/>
    <col min="13086" max="13311" width="9.109375" style="1"/>
    <col min="13312" max="13312" width="40" style="1" customWidth="1"/>
    <col min="13313" max="13313" width="11.5546875" style="1" customWidth="1"/>
    <col min="13314" max="13314" width="24" style="1" customWidth="1"/>
    <col min="13315" max="13318" width="15.88671875" style="1" customWidth="1"/>
    <col min="13319" max="13319" width="1.6640625" style="1" customWidth="1"/>
    <col min="13320" max="13321" width="26" style="1" customWidth="1"/>
    <col min="13322" max="13322" width="1.6640625" style="1" customWidth="1"/>
    <col min="13323" max="13325" width="18.6640625" style="1" customWidth="1"/>
    <col min="13326" max="13326" width="1.6640625" style="1" customWidth="1"/>
    <col min="13327" max="13327" width="25.44140625" style="1" customWidth="1"/>
    <col min="13328" max="13328" width="20.6640625" style="1" customWidth="1"/>
    <col min="13329" max="13329" width="1.6640625" style="1" customWidth="1"/>
    <col min="13330" max="13331" width="25.44140625" style="1" customWidth="1"/>
    <col min="13332" max="13332" width="20.6640625" style="1" customWidth="1"/>
    <col min="13333" max="13333" width="1.6640625" style="1" customWidth="1"/>
    <col min="13334" max="13334" width="41.5546875" style="1" customWidth="1"/>
    <col min="13335" max="13335" width="11.5546875" style="1" customWidth="1"/>
    <col min="13336" max="13336" width="23" style="1" customWidth="1"/>
    <col min="13337" max="13340" width="18.6640625" style="1" customWidth="1"/>
    <col min="13341" max="13341" width="1.6640625" style="1" customWidth="1"/>
    <col min="13342" max="13567" width="9.109375" style="1"/>
    <col min="13568" max="13568" width="40" style="1" customWidth="1"/>
    <col min="13569" max="13569" width="11.5546875" style="1" customWidth="1"/>
    <col min="13570" max="13570" width="24" style="1" customWidth="1"/>
    <col min="13571" max="13574" width="15.88671875" style="1" customWidth="1"/>
    <col min="13575" max="13575" width="1.6640625" style="1" customWidth="1"/>
    <col min="13576" max="13577" width="26" style="1" customWidth="1"/>
    <col min="13578" max="13578" width="1.6640625" style="1" customWidth="1"/>
    <col min="13579" max="13581" width="18.6640625" style="1" customWidth="1"/>
    <col min="13582" max="13582" width="1.6640625" style="1" customWidth="1"/>
    <col min="13583" max="13583" width="25.44140625" style="1" customWidth="1"/>
    <col min="13584" max="13584" width="20.6640625" style="1" customWidth="1"/>
    <col min="13585" max="13585" width="1.6640625" style="1" customWidth="1"/>
    <col min="13586" max="13587" width="25.44140625" style="1" customWidth="1"/>
    <col min="13588" max="13588" width="20.6640625" style="1" customWidth="1"/>
    <col min="13589" max="13589" width="1.6640625" style="1" customWidth="1"/>
    <col min="13590" max="13590" width="41.5546875" style="1" customWidth="1"/>
    <col min="13591" max="13591" width="11.5546875" style="1" customWidth="1"/>
    <col min="13592" max="13592" width="23" style="1" customWidth="1"/>
    <col min="13593" max="13596" width="18.6640625" style="1" customWidth="1"/>
    <col min="13597" max="13597" width="1.6640625" style="1" customWidth="1"/>
    <col min="13598" max="13823" width="9.109375" style="1"/>
    <col min="13824" max="13824" width="40" style="1" customWidth="1"/>
    <col min="13825" max="13825" width="11.5546875" style="1" customWidth="1"/>
    <col min="13826" max="13826" width="24" style="1" customWidth="1"/>
    <col min="13827" max="13830" width="15.88671875" style="1" customWidth="1"/>
    <col min="13831" max="13831" width="1.6640625" style="1" customWidth="1"/>
    <col min="13832" max="13833" width="26" style="1" customWidth="1"/>
    <col min="13834" max="13834" width="1.6640625" style="1" customWidth="1"/>
    <col min="13835" max="13837" width="18.6640625" style="1" customWidth="1"/>
    <col min="13838" max="13838" width="1.6640625" style="1" customWidth="1"/>
    <col min="13839" max="13839" width="25.44140625" style="1" customWidth="1"/>
    <col min="13840" max="13840" width="20.6640625" style="1" customWidth="1"/>
    <col min="13841" max="13841" width="1.6640625" style="1" customWidth="1"/>
    <col min="13842" max="13843" width="25.44140625" style="1" customWidth="1"/>
    <col min="13844" max="13844" width="20.6640625" style="1" customWidth="1"/>
    <col min="13845" max="13845" width="1.6640625" style="1" customWidth="1"/>
    <col min="13846" max="13846" width="41.5546875" style="1" customWidth="1"/>
    <col min="13847" max="13847" width="11.5546875" style="1" customWidth="1"/>
    <col min="13848" max="13848" width="23" style="1" customWidth="1"/>
    <col min="13849" max="13852" width="18.6640625" style="1" customWidth="1"/>
    <col min="13853" max="13853" width="1.6640625" style="1" customWidth="1"/>
    <col min="13854" max="14079" width="9.109375" style="1"/>
    <col min="14080" max="14080" width="40" style="1" customWidth="1"/>
    <col min="14081" max="14081" width="11.5546875" style="1" customWidth="1"/>
    <col min="14082" max="14082" width="24" style="1" customWidth="1"/>
    <col min="14083" max="14086" width="15.88671875" style="1" customWidth="1"/>
    <col min="14087" max="14087" width="1.6640625" style="1" customWidth="1"/>
    <col min="14088" max="14089" width="26" style="1" customWidth="1"/>
    <col min="14090" max="14090" width="1.6640625" style="1" customWidth="1"/>
    <col min="14091" max="14093" width="18.6640625" style="1" customWidth="1"/>
    <col min="14094" max="14094" width="1.6640625" style="1" customWidth="1"/>
    <col min="14095" max="14095" width="25.44140625" style="1" customWidth="1"/>
    <col min="14096" max="14096" width="20.6640625" style="1" customWidth="1"/>
    <col min="14097" max="14097" width="1.6640625" style="1" customWidth="1"/>
    <col min="14098" max="14099" width="25.44140625" style="1" customWidth="1"/>
    <col min="14100" max="14100" width="20.6640625" style="1" customWidth="1"/>
    <col min="14101" max="14101" width="1.6640625" style="1" customWidth="1"/>
    <col min="14102" max="14102" width="41.5546875" style="1" customWidth="1"/>
    <col min="14103" max="14103" width="11.5546875" style="1" customWidth="1"/>
    <col min="14104" max="14104" width="23" style="1" customWidth="1"/>
    <col min="14105" max="14108" width="18.6640625" style="1" customWidth="1"/>
    <col min="14109" max="14109" width="1.6640625" style="1" customWidth="1"/>
    <col min="14110" max="14335" width="9.109375" style="1"/>
    <col min="14336" max="14336" width="40" style="1" customWidth="1"/>
    <col min="14337" max="14337" width="11.5546875" style="1" customWidth="1"/>
    <col min="14338" max="14338" width="24" style="1" customWidth="1"/>
    <col min="14339" max="14342" width="15.88671875" style="1" customWidth="1"/>
    <col min="14343" max="14343" width="1.6640625" style="1" customWidth="1"/>
    <col min="14344" max="14345" width="26" style="1" customWidth="1"/>
    <col min="14346" max="14346" width="1.6640625" style="1" customWidth="1"/>
    <col min="14347" max="14349" width="18.6640625" style="1" customWidth="1"/>
    <col min="14350" max="14350" width="1.6640625" style="1" customWidth="1"/>
    <col min="14351" max="14351" width="25.44140625" style="1" customWidth="1"/>
    <col min="14352" max="14352" width="20.6640625" style="1" customWidth="1"/>
    <col min="14353" max="14353" width="1.6640625" style="1" customWidth="1"/>
    <col min="14354" max="14355" width="25.44140625" style="1" customWidth="1"/>
    <col min="14356" max="14356" width="20.6640625" style="1" customWidth="1"/>
    <col min="14357" max="14357" width="1.6640625" style="1" customWidth="1"/>
    <col min="14358" max="14358" width="41.5546875" style="1" customWidth="1"/>
    <col min="14359" max="14359" width="11.5546875" style="1" customWidth="1"/>
    <col min="14360" max="14360" width="23" style="1" customWidth="1"/>
    <col min="14361" max="14364" width="18.6640625" style="1" customWidth="1"/>
    <col min="14365" max="14365" width="1.6640625" style="1" customWidth="1"/>
    <col min="14366" max="14591" width="9.109375" style="1"/>
    <col min="14592" max="14592" width="40" style="1" customWidth="1"/>
    <col min="14593" max="14593" width="11.5546875" style="1" customWidth="1"/>
    <col min="14594" max="14594" width="24" style="1" customWidth="1"/>
    <col min="14595" max="14598" width="15.88671875" style="1" customWidth="1"/>
    <col min="14599" max="14599" width="1.6640625" style="1" customWidth="1"/>
    <col min="14600" max="14601" width="26" style="1" customWidth="1"/>
    <col min="14602" max="14602" width="1.6640625" style="1" customWidth="1"/>
    <col min="14603" max="14605" width="18.6640625" style="1" customWidth="1"/>
    <col min="14606" max="14606" width="1.6640625" style="1" customWidth="1"/>
    <col min="14607" max="14607" width="25.44140625" style="1" customWidth="1"/>
    <col min="14608" max="14608" width="20.6640625" style="1" customWidth="1"/>
    <col min="14609" max="14609" width="1.6640625" style="1" customWidth="1"/>
    <col min="14610" max="14611" width="25.44140625" style="1" customWidth="1"/>
    <col min="14612" max="14612" width="20.6640625" style="1" customWidth="1"/>
    <col min="14613" max="14613" width="1.6640625" style="1" customWidth="1"/>
    <col min="14614" max="14614" width="41.5546875" style="1" customWidth="1"/>
    <col min="14615" max="14615" width="11.5546875" style="1" customWidth="1"/>
    <col min="14616" max="14616" width="23" style="1" customWidth="1"/>
    <col min="14617" max="14620" width="18.6640625" style="1" customWidth="1"/>
    <col min="14621" max="14621" width="1.6640625" style="1" customWidth="1"/>
    <col min="14622" max="14847" width="9.109375" style="1"/>
    <col min="14848" max="14848" width="40" style="1" customWidth="1"/>
    <col min="14849" max="14849" width="11.5546875" style="1" customWidth="1"/>
    <col min="14850" max="14850" width="24" style="1" customWidth="1"/>
    <col min="14851" max="14854" width="15.88671875" style="1" customWidth="1"/>
    <col min="14855" max="14855" width="1.6640625" style="1" customWidth="1"/>
    <col min="14856" max="14857" width="26" style="1" customWidth="1"/>
    <col min="14858" max="14858" width="1.6640625" style="1" customWidth="1"/>
    <col min="14859" max="14861" width="18.6640625" style="1" customWidth="1"/>
    <col min="14862" max="14862" width="1.6640625" style="1" customWidth="1"/>
    <col min="14863" max="14863" width="25.44140625" style="1" customWidth="1"/>
    <col min="14864" max="14864" width="20.6640625" style="1" customWidth="1"/>
    <col min="14865" max="14865" width="1.6640625" style="1" customWidth="1"/>
    <col min="14866" max="14867" width="25.44140625" style="1" customWidth="1"/>
    <col min="14868" max="14868" width="20.6640625" style="1" customWidth="1"/>
    <col min="14869" max="14869" width="1.6640625" style="1" customWidth="1"/>
    <col min="14870" max="14870" width="41.5546875" style="1" customWidth="1"/>
    <col min="14871" max="14871" width="11.5546875" style="1" customWidth="1"/>
    <col min="14872" max="14872" width="23" style="1" customWidth="1"/>
    <col min="14873" max="14876" width="18.6640625" style="1" customWidth="1"/>
    <col min="14877" max="14877" width="1.6640625" style="1" customWidth="1"/>
    <col min="14878" max="15103" width="9.109375" style="1"/>
    <col min="15104" max="15104" width="40" style="1" customWidth="1"/>
    <col min="15105" max="15105" width="11.5546875" style="1" customWidth="1"/>
    <col min="15106" max="15106" width="24" style="1" customWidth="1"/>
    <col min="15107" max="15110" width="15.88671875" style="1" customWidth="1"/>
    <col min="15111" max="15111" width="1.6640625" style="1" customWidth="1"/>
    <col min="15112" max="15113" width="26" style="1" customWidth="1"/>
    <col min="15114" max="15114" width="1.6640625" style="1" customWidth="1"/>
    <col min="15115" max="15117" width="18.6640625" style="1" customWidth="1"/>
    <col min="15118" max="15118" width="1.6640625" style="1" customWidth="1"/>
    <col min="15119" max="15119" width="25.44140625" style="1" customWidth="1"/>
    <col min="15120" max="15120" width="20.6640625" style="1" customWidth="1"/>
    <col min="15121" max="15121" width="1.6640625" style="1" customWidth="1"/>
    <col min="15122" max="15123" width="25.44140625" style="1" customWidth="1"/>
    <col min="15124" max="15124" width="20.6640625" style="1" customWidth="1"/>
    <col min="15125" max="15125" width="1.6640625" style="1" customWidth="1"/>
    <col min="15126" max="15126" width="41.5546875" style="1" customWidth="1"/>
    <col min="15127" max="15127" width="11.5546875" style="1" customWidth="1"/>
    <col min="15128" max="15128" width="23" style="1" customWidth="1"/>
    <col min="15129" max="15132" width="18.6640625" style="1" customWidth="1"/>
    <col min="15133" max="15133" width="1.6640625" style="1" customWidth="1"/>
    <col min="15134" max="15359" width="9.109375" style="1"/>
    <col min="15360" max="15360" width="40" style="1" customWidth="1"/>
    <col min="15361" max="15361" width="11.5546875" style="1" customWidth="1"/>
    <col min="15362" max="15362" width="24" style="1" customWidth="1"/>
    <col min="15363" max="15366" width="15.88671875" style="1" customWidth="1"/>
    <col min="15367" max="15367" width="1.6640625" style="1" customWidth="1"/>
    <col min="15368" max="15369" width="26" style="1" customWidth="1"/>
    <col min="15370" max="15370" width="1.6640625" style="1" customWidth="1"/>
    <col min="15371" max="15373" width="18.6640625" style="1" customWidth="1"/>
    <col min="15374" max="15374" width="1.6640625" style="1" customWidth="1"/>
    <col min="15375" max="15375" width="25.44140625" style="1" customWidth="1"/>
    <col min="15376" max="15376" width="20.6640625" style="1" customWidth="1"/>
    <col min="15377" max="15377" width="1.6640625" style="1" customWidth="1"/>
    <col min="15378" max="15379" width="25.44140625" style="1" customWidth="1"/>
    <col min="15380" max="15380" width="20.6640625" style="1" customWidth="1"/>
    <col min="15381" max="15381" width="1.6640625" style="1" customWidth="1"/>
    <col min="15382" max="15382" width="41.5546875" style="1" customWidth="1"/>
    <col min="15383" max="15383" width="11.5546875" style="1" customWidth="1"/>
    <col min="15384" max="15384" width="23" style="1" customWidth="1"/>
    <col min="15385" max="15388" width="18.6640625" style="1" customWidth="1"/>
    <col min="15389" max="15389" width="1.6640625" style="1" customWidth="1"/>
    <col min="15390" max="15615" width="9.109375" style="1"/>
    <col min="15616" max="15616" width="40" style="1" customWidth="1"/>
    <col min="15617" max="15617" width="11.5546875" style="1" customWidth="1"/>
    <col min="15618" max="15618" width="24" style="1" customWidth="1"/>
    <col min="15619" max="15622" width="15.88671875" style="1" customWidth="1"/>
    <col min="15623" max="15623" width="1.6640625" style="1" customWidth="1"/>
    <col min="15624" max="15625" width="26" style="1" customWidth="1"/>
    <col min="15626" max="15626" width="1.6640625" style="1" customWidth="1"/>
    <col min="15627" max="15629" width="18.6640625" style="1" customWidth="1"/>
    <col min="15630" max="15630" width="1.6640625" style="1" customWidth="1"/>
    <col min="15631" max="15631" width="25.44140625" style="1" customWidth="1"/>
    <col min="15632" max="15632" width="20.6640625" style="1" customWidth="1"/>
    <col min="15633" max="15633" width="1.6640625" style="1" customWidth="1"/>
    <col min="15634" max="15635" width="25.44140625" style="1" customWidth="1"/>
    <col min="15636" max="15636" width="20.6640625" style="1" customWidth="1"/>
    <col min="15637" max="15637" width="1.6640625" style="1" customWidth="1"/>
    <col min="15638" max="15638" width="41.5546875" style="1" customWidth="1"/>
    <col min="15639" max="15639" width="11.5546875" style="1" customWidth="1"/>
    <col min="15640" max="15640" width="23" style="1" customWidth="1"/>
    <col min="15641" max="15644" width="18.6640625" style="1" customWidth="1"/>
    <col min="15645" max="15645" width="1.6640625" style="1" customWidth="1"/>
    <col min="15646" max="15871" width="9.109375" style="1"/>
    <col min="15872" max="15872" width="40" style="1" customWidth="1"/>
    <col min="15873" max="15873" width="11.5546875" style="1" customWidth="1"/>
    <col min="15874" max="15874" width="24" style="1" customWidth="1"/>
    <col min="15875" max="15878" width="15.88671875" style="1" customWidth="1"/>
    <col min="15879" max="15879" width="1.6640625" style="1" customWidth="1"/>
    <col min="15880" max="15881" width="26" style="1" customWidth="1"/>
    <col min="15882" max="15882" width="1.6640625" style="1" customWidth="1"/>
    <col min="15883" max="15885" width="18.6640625" style="1" customWidth="1"/>
    <col min="15886" max="15886" width="1.6640625" style="1" customWidth="1"/>
    <col min="15887" max="15887" width="25.44140625" style="1" customWidth="1"/>
    <col min="15888" max="15888" width="20.6640625" style="1" customWidth="1"/>
    <col min="15889" max="15889" width="1.6640625" style="1" customWidth="1"/>
    <col min="15890" max="15891" width="25.44140625" style="1" customWidth="1"/>
    <col min="15892" max="15892" width="20.6640625" style="1" customWidth="1"/>
    <col min="15893" max="15893" width="1.6640625" style="1" customWidth="1"/>
    <col min="15894" max="15894" width="41.5546875" style="1" customWidth="1"/>
    <col min="15895" max="15895" width="11.5546875" style="1" customWidth="1"/>
    <col min="15896" max="15896" width="23" style="1" customWidth="1"/>
    <col min="15897" max="15900" width="18.6640625" style="1" customWidth="1"/>
    <col min="15901" max="15901" width="1.6640625" style="1" customWidth="1"/>
    <col min="15902" max="16127" width="9.109375" style="1"/>
    <col min="16128" max="16128" width="40" style="1" customWidth="1"/>
    <col min="16129" max="16129" width="11.5546875" style="1" customWidth="1"/>
    <col min="16130" max="16130" width="24" style="1" customWidth="1"/>
    <col min="16131" max="16134" width="15.88671875" style="1" customWidth="1"/>
    <col min="16135" max="16135" width="1.6640625" style="1" customWidth="1"/>
    <col min="16136" max="16137" width="26" style="1" customWidth="1"/>
    <col min="16138" max="16138" width="1.6640625" style="1" customWidth="1"/>
    <col min="16139" max="16141" width="18.6640625" style="1" customWidth="1"/>
    <col min="16142" max="16142" width="1.6640625" style="1" customWidth="1"/>
    <col min="16143" max="16143" width="25.44140625" style="1" customWidth="1"/>
    <col min="16144" max="16144" width="20.6640625" style="1" customWidth="1"/>
    <col min="16145" max="16145" width="1.6640625" style="1" customWidth="1"/>
    <col min="16146" max="16147" width="25.44140625" style="1" customWidth="1"/>
    <col min="16148" max="16148" width="20.6640625" style="1" customWidth="1"/>
    <col min="16149" max="16149" width="1.6640625" style="1" customWidth="1"/>
    <col min="16150" max="16150" width="41.5546875" style="1" customWidth="1"/>
    <col min="16151" max="16151" width="11.5546875" style="1" customWidth="1"/>
    <col min="16152" max="16152" width="23" style="1" customWidth="1"/>
    <col min="16153" max="16156" width="18.6640625" style="1" customWidth="1"/>
    <col min="16157" max="16157" width="1.6640625" style="1" customWidth="1"/>
    <col min="16158" max="16384" width="9.109375" style="1"/>
  </cols>
  <sheetData>
    <row r="1" spans="2:28" s="97" customFormat="1" ht="81.75" customHeight="1" x14ac:dyDescent="0.3">
      <c r="B1" s="227" t="s">
        <v>371</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row>
    <row r="2" spans="2:28" ht="33" customHeight="1" x14ac:dyDescent="0.3">
      <c r="B2" s="120" t="s">
        <v>369</v>
      </c>
      <c r="C2" s="232" t="s">
        <v>355</v>
      </c>
      <c r="D2" s="233"/>
      <c r="E2" s="233"/>
      <c r="F2" s="233"/>
      <c r="G2" s="233"/>
      <c r="H2" s="233"/>
      <c r="I2" s="110"/>
      <c r="J2" s="110"/>
      <c r="K2" s="110"/>
      <c r="L2" s="110"/>
      <c r="M2" s="110"/>
      <c r="N2" s="110"/>
      <c r="O2" s="110"/>
      <c r="P2" s="110"/>
      <c r="Q2" s="110"/>
      <c r="R2" s="110"/>
      <c r="S2" s="110"/>
      <c r="T2" s="110"/>
      <c r="U2" s="110"/>
      <c r="V2" s="110"/>
      <c r="W2" s="110"/>
      <c r="X2" s="110"/>
      <c r="Y2" s="110"/>
      <c r="Z2" s="110"/>
      <c r="AA2" s="110"/>
      <c r="AB2" s="110"/>
    </row>
    <row r="3" spans="2:28" ht="33" customHeight="1" x14ac:dyDescent="0.3">
      <c r="B3" s="120" t="s">
        <v>253</v>
      </c>
      <c r="C3" s="230" t="s">
        <v>370</v>
      </c>
      <c r="D3" s="231"/>
      <c r="E3" s="231"/>
      <c r="F3" s="231"/>
      <c r="G3" s="231"/>
      <c r="H3" s="231"/>
      <c r="I3" s="110"/>
      <c r="J3" s="110"/>
      <c r="K3" s="110"/>
      <c r="L3" s="110"/>
      <c r="M3" s="110"/>
      <c r="N3" s="110"/>
      <c r="O3" s="110"/>
      <c r="P3" s="110"/>
      <c r="Q3" s="110"/>
      <c r="R3" s="110"/>
      <c r="S3" s="110"/>
      <c r="T3" s="110"/>
      <c r="U3" s="110"/>
      <c r="V3" s="110"/>
      <c r="W3" s="110"/>
      <c r="X3" s="110"/>
      <c r="Y3" s="110"/>
      <c r="Z3" s="110"/>
      <c r="AA3" s="110"/>
      <c r="AB3" s="110"/>
    </row>
    <row r="4" spans="2:28" s="111" customFormat="1" ht="19.5" customHeight="1" x14ac:dyDescent="0.3">
      <c r="B4" s="229" t="s">
        <v>246</v>
      </c>
      <c r="C4" s="229"/>
      <c r="D4" s="229"/>
      <c r="E4" s="229"/>
      <c r="F4" s="229"/>
      <c r="G4" s="229"/>
      <c r="I4" s="229" t="s">
        <v>247</v>
      </c>
      <c r="J4" s="229"/>
      <c r="L4" s="229" t="s">
        <v>248</v>
      </c>
      <c r="M4" s="229"/>
      <c r="N4" s="229"/>
      <c r="P4" s="229" t="s">
        <v>249</v>
      </c>
      <c r="Q4" s="229"/>
      <c r="S4" s="229" t="s">
        <v>250</v>
      </c>
      <c r="T4" s="229"/>
      <c r="U4" s="229"/>
      <c r="W4" s="229" t="s">
        <v>251</v>
      </c>
      <c r="X4" s="229"/>
      <c r="Y4" s="229"/>
      <c r="Z4" s="229"/>
      <c r="AA4" s="229"/>
      <c r="AB4" s="229"/>
    </row>
    <row r="5" spans="2:28" s="112" customFormat="1" ht="157.5" customHeight="1" x14ac:dyDescent="0.3">
      <c r="B5" s="217" t="s">
        <v>357</v>
      </c>
      <c r="C5" s="218"/>
      <c r="D5" s="218"/>
      <c r="E5" s="218"/>
      <c r="F5" s="218"/>
      <c r="G5" s="219"/>
      <c r="I5" s="217" t="s">
        <v>362</v>
      </c>
      <c r="J5" s="219"/>
      <c r="L5" s="217" t="s">
        <v>368</v>
      </c>
      <c r="M5" s="218"/>
      <c r="N5" s="219"/>
      <c r="P5" s="217" t="s">
        <v>356</v>
      </c>
      <c r="Q5" s="219"/>
      <c r="S5" s="217" t="s">
        <v>363</v>
      </c>
      <c r="T5" s="218"/>
      <c r="U5" s="219"/>
      <c r="W5" s="223" t="s">
        <v>364</v>
      </c>
      <c r="X5" s="224"/>
      <c r="Y5" s="224"/>
      <c r="Z5" s="224"/>
      <c r="AA5" s="224"/>
      <c r="AB5" s="225"/>
    </row>
    <row r="6" spans="2:28" s="113" customFormat="1" ht="80.25" customHeight="1" x14ac:dyDescent="0.3">
      <c r="B6" s="220"/>
      <c r="C6" s="221"/>
      <c r="D6" s="221"/>
      <c r="E6" s="221"/>
      <c r="F6" s="221"/>
      <c r="G6" s="222"/>
      <c r="I6" s="220"/>
      <c r="J6" s="222"/>
      <c r="L6" s="220"/>
      <c r="M6" s="221"/>
      <c r="N6" s="222"/>
      <c r="P6" s="220"/>
      <c r="Q6" s="222"/>
      <c r="S6" s="220"/>
      <c r="T6" s="221"/>
      <c r="U6" s="222"/>
      <c r="W6" s="214" t="s">
        <v>252</v>
      </c>
      <c r="X6" s="216"/>
      <c r="Y6" s="216"/>
      <c r="Z6" s="216"/>
      <c r="AA6" s="216"/>
      <c r="AB6" s="226"/>
    </row>
    <row r="7" spans="2:28" ht="82.5" customHeight="1" x14ac:dyDescent="0.3">
      <c r="B7" s="2" t="s">
        <v>0</v>
      </c>
      <c r="C7" s="2" t="s">
        <v>182</v>
      </c>
      <c r="D7" s="2" t="s">
        <v>135</v>
      </c>
      <c r="E7" s="3" t="s">
        <v>133</v>
      </c>
      <c r="F7" s="3" t="s">
        <v>360</v>
      </c>
      <c r="G7" s="3" t="s">
        <v>358</v>
      </c>
      <c r="I7" s="3" t="s">
        <v>28</v>
      </c>
      <c r="J7" s="3" t="s">
        <v>177</v>
      </c>
      <c r="L7" s="9" t="s">
        <v>234</v>
      </c>
      <c r="M7" s="9" t="s">
        <v>228</v>
      </c>
      <c r="N7" s="9" t="s">
        <v>226</v>
      </c>
      <c r="P7" s="214" t="s">
        <v>381</v>
      </c>
      <c r="Q7" s="215"/>
      <c r="S7" s="214" t="s">
        <v>382</v>
      </c>
      <c r="T7" s="216"/>
      <c r="U7" s="215"/>
      <c r="W7" s="2" t="s">
        <v>0</v>
      </c>
      <c r="X7" s="2" t="s">
        <v>182</v>
      </c>
      <c r="Y7" s="9" t="s">
        <v>337</v>
      </c>
      <c r="Z7" s="9" t="s">
        <v>338</v>
      </c>
      <c r="AA7" s="9" t="s">
        <v>367</v>
      </c>
      <c r="AB7" s="9" t="s">
        <v>339</v>
      </c>
    </row>
    <row r="8" spans="2:28" ht="15" customHeight="1" x14ac:dyDescent="0.3">
      <c r="B8" s="135" t="str">
        <f>Rates!C4</f>
        <v>Austria</v>
      </c>
      <c r="C8" s="135" t="str">
        <f>Rates!D4</f>
        <v>Programme Countries</v>
      </c>
      <c r="D8" s="99">
        <f>Rates!E4</f>
        <v>294</v>
      </c>
      <c r="E8" s="99">
        <f>Rates!F4</f>
        <v>241</v>
      </c>
      <c r="F8" s="99">
        <f>Rates!G4</f>
        <v>190</v>
      </c>
      <c r="G8" s="99">
        <f>Rates!H4</f>
        <v>157</v>
      </c>
      <c r="I8" s="98" t="str">
        <f>Rates!P4</f>
        <v>0 KM and 99 KM</v>
      </c>
      <c r="J8" s="98">
        <f>Rates!Q4</f>
        <v>0</v>
      </c>
      <c r="L8" s="13">
        <v>1</v>
      </c>
      <c r="M8" s="99">
        <f>L8*55</f>
        <v>55</v>
      </c>
      <c r="N8" s="99">
        <f>L8*120</f>
        <v>120</v>
      </c>
      <c r="P8" s="11"/>
      <c r="Q8" s="14"/>
      <c r="S8" s="11"/>
      <c r="T8" s="11"/>
      <c r="U8" s="14"/>
      <c r="W8" s="131" t="str">
        <f>Rates!N4</f>
        <v>Austria</v>
      </c>
      <c r="X8" s="131" t="str">
        <f>VLOOKUP(W8,Rates!$C$4:$L$182,2,FALSE)</f>
        <v>Programme Countries</v>
      </c>
      <c r="Y8" s="132">
        <f>VLOOKUP(W8,Rates!$C$4:$L$182,7,FALSE)</f>
        <v>850</v>
      </c>
      <c r="Z8" s="132">
        <f>VLOOKUP(W8,Rates!$C$4:$L$182,8,FALSE)</f>
        <v>0</v>
      </c>
      <c r="AA8" s="133">
        <f>VLOOKUP(W8,Rates!$C$4:$L$182,9,FALSE)</f>
        <v>140</v>
      </c>
      <c r="AB8" s="134">
        <f>VLOOKUP(W8,Rates!$C$4:$L$182,10,FALSE)</f>
        <v>0</v>
      </c>
    </row>
    <row r="9" spans="2:28" x14ac:dyDescent="0.3">
      <c r="B9" s="135" t="str">
        <f>Rates!C5</f>
        <v>Belgium</v>
      </c>
      <c r="C9" s="135" t="str">
        <f>Rates!D5</f>
        <v>Programme Countries</v>
      </c>
      <c r="D9" s="99">
        <f>Rates!E5</f>
        <v>280</v>
      </c>
      <c r="E9" s="99">
        <f>Rates!F5</f>
        <v>214</v>
      </c>
      <c r="F9" s="99">
        <f>Rates!G5</f>
        <v>162</v>
      </c>
      <c r="G9" s="99">
        <f>Rates!H5</f>
        <v>131</v>
      </c>
      <c r="I9" s="98" t="str">
        <f>Rates!P5</f>
        <v>100 KM and 499 KM</v>
      </c>
      <c r="J9" s="98">
        <f>Rates!Q5</f>
        <v>180</v>
      </c>
      <c r="L9" s="13">
        <v>2</v>
      </c>
      <c r="M9" s="99">
        <f t="shared" ref="M9:M21" si="0">L9*55</f>
        <v>110</v>
      </c>
      <c r="N9" s="99">
        <f t="shared" ref="N9:N21" si="1">L9*120</f>
        <v>240</v>
      </c>
      <c r="Q9" s="14"/>
      <c r="U9" s="14"/>
      <c r="W9" s="131" t="str">
        <f>Rates!N5</f>
        <v>Belgium</v>
      </c>
      <c r="X9" s="131" t="str">
        <f>VLOOKUP(W9,Rates!$C$4:$L$182,2,FALSE)</f>
        <v>Programme Countries</v>
      </c>
      <c r="Y9" s="132">
        <f>VLOOKUP(W9,Rates!$C$4:$L$182,7,FALSE)</f>
        <v>800</v>
      </c>
      <c r="Z9" s="132">
        <f>VLOOKUP(W9,Rates!$C$4:$L$182,8,FALSE)</f>
        <v>0</v>
      </c>
      <c r="AA9" s="133">
        <f>VLOOKUP(W9,Rates!$C$4:$L$182,9,FALSE)</f>
        <v>140</v>
      </c>
      <c r="AB9" s="134">
        <f>VLOOKUP(W9,Rates!$C$4:$L$182,10,FALSE)</f>
        <v>0</v>
      </c>
    </row>
    <row r="10" spans="2:28" x14ac:dyDescent="0.3">
      <c r="B10" s="135" t="str">
        <f>Rates!C6</f>
        <v>Bulgaria</v>
      </c>
      <c r="C10" s="135" t="str">
        <f>Rates!D6</f>
        <v>Programme Countries</v>
      </c>
      <c r="D10" s="99">
        <f>Rates!E6</f>
        <v>88</v>
      </c>
      <c r="E10" s="99">
        <f>Rates!F6</f>
        <v>74</v>
      </c>
      <c r="F10" s="99">
        <f>Rates!G6</f>
        <v>55</v>
      </c>
      <c r="G10" s="99">
        <f>Rates!H6</f>
        <v>39</v>
      </c>
      <c r="I10" s="98" t="str">
        <f>Rates!P6</f>
        <v>500 KM and 1999 KM</v>
      </c>
      <c r="J10" s="98">
        <f>Rates!Q6</f>
        <v>275</v>
      </c>
      <c r="L10" s="13">
        <v>3</v>
      </c>
      <c r="M10" s="99">
        <f t="shared" si="0"/>
        <v>165</v>
      </c>
      <c r="N10" s="99">
        <f t="shared" si="1"/>
        <v>360</v>
      </c>
      <c r="W10" s="131" t="str">
        <f>Rates!N6</f>
        <v>Bulgaria</v>
      </c>
      <c r="X10" s="131" t="str">
        <f>VLOOKUP(W10,Rates!$C$4:$L$182,2,FALSE)</f>
        <v>Programme Countries</v>
      </c>
      <c r="Y10" s="132">
        <f>VLOOKUP(W10,Rates!$C$4:$L$182,7,FALSE)</f>
        <v>750</v>
      </c>
      <c r="Z10" s="132">
        <f>VLOOKUP(W10,Rates!$C$4:$L$182,8,FALSE)</f>
        <v>0</v>
      </c>
      <c r="AA10" s="133">
        <f>VLOOKUP(W10,Rates!$C$4:$L$182,9,FALSE)</f>
        <v>140</v>
      </c>
      <c r="AB10" s="134">
        <f>VLOOKUP(W10,Rates!$C$4:$L$182,10,FALSE)</f>
        <v>0</v>
      </c>
    </row>
    <row r="11" spans="2:28" x14ac:dyDescent="0.3">
      <c r="B11" s="135" t="str">
        <f>Rates!C7</f>
        <v>Croatia</v>
      </c>
      <c r="C11" s="135" t="str">
        <f>Rates!D7</f>
        <v>Programme Countries</v>
      </c>
      <c r="D11" s="99">
        <f>Rates!E7</f>
        <v>88</v>
      </c>
      <c r="E11" s="99">
        <f>Rates!F7</f>
        <v>74</v>
      </c>
      <c r="F11" s="99">
        <f>Rates!G7</f>
        <v>55</v>
      </c>
      <c r="G11" s="99">
        <f>Rates!H7</f>
        <v>39</v>
      </c>
      <c r="I11" s="98" t="str">
        <f>Rates!P7</f>
        <v>2000 KM and 2999 KM</v>
      </c>
      <c r="J11" s="98">
        <f>Rates!Q7</f>
        <v>360</v>
      </c>
      <c r="L11" s="13">
        <v>4</v>
      </c>
      <c r="M11" s="99">
        <f t="shared" si="0"/>
        <v>220</v>
      </c>
      <c r="N11" s="99">
        <f t="shared" si="1"/>
        <v>480</v>
      </c>
      <c r="W11" s="131" t="str">
        <f>Rates!N7</f>
        <v>Croatia</v>
      </c>
      <c r="X11" s="131" t="str">
        <f>VLOOKUP(W11,Rates!$C$4:$L$182,2,FALSE)</f>
        <v>Programme Countries</v>
      </c>
      <c r="Y11" s="132">
        <f>VLOOKUP(W11,Rates!$C$4:$L$182,7,FALSE)</f>
        <v>800</v>
      </c>
      <c r="Z11" s="132">
        <f>VLOOKUP(W11,Rates!$C$4:$L$182,8,FALSE)</f>
        <v>0</v>
      </c>
      <c r="AA11" s="133">
        <f>VLOOKUP(W11,Rates!$C$4:$L$182,9,FALSE)</f>
        <v>100</v>
      </c>
      <c r="AB11" s="134">
        <f>VLOOKUP(W11,Rates!$C$4:$L$182,10,FALSE)</f>
        <v>0</v>
      </c>
    </row>
    <row r="12" spans="2:28" x14ac:dyDescent="0.3">
      <c r="B12" s="135" t="str">
        <f>Rates!C8</f>
        <v>Cyprus</v>
      </c>
      <c r="C12" s="135" t="str">
        <f>Rates!D8</f>
        <v>Programme Countries</v>
      </c>
      <c r="D12" s="99">
        <f>Rates!E8</f>
        <v>164</v>
      </c>
      <c r="E12" s="99">
        <f>Rates!F8</f>
        <v>137</v>
      </c>
      <c r="F12" s="99">
        <f>Rates!G8</f>
        <v>102</v>
      </c>
      <c r="G12" s="99">
        <f>Rates!H8</f>
        <v>78</v>
      </c>
      <c r="I12" s="98" t="str">
        <f>Rates!P8</f>
        <v>3000 KM and 3999 KM</v>
      </c>
      <c r="J12" s="98">
        <f>Rates!Q8</f>
        <v>530</v>
      </c>
      <c r="L12" s="13">
        <v>5</v>
      </c>
      <c r="M12" s="99">
        <f t="shared" si="0"/>
        <v>275</v>
      </c>
      <c r="N12" s="99">
        <f t="shared" si="1"/>
        <v>600</v>
      </c>
      <c r="W12" s="131" t="str">
        <f>Rates!N8</f>
        <v>Cyprus</v>
      </c>
      <c r="X12" s="131" t="str">
        <f>VLOOKUP(W12,Rates!$C$4:$L$182,2,FALSE)</f>
        <v>Programme Countries</v>
      </c>
      <c r="Y12" s="132">
        <f>VLOOKUP(W12,Rates!$C$4:$L$182,7,FALSE)</f>
        <v>800</v>
      </c>
      <c r="Z12" s="132">
        <f>VLOOKUP(W12,Rates!$C$4:$L$182,8,FALSE)</f>
        <v>0</v>
      </c>
      <c r="AA12" s="133">
        <f>VLOOKUP(W12,Rates!$C$4:$L$182,9,FALSE)</f>
        <v>140</v>
      </c>
      <c r="AB12" s="134">
        <f>VLOOKUP(W12,Rates!$C$4:$L$182,10,FALSE)</f>
        <v>0</v>
      </c>
    </row>
    <row r="13" spans="2:28" x14ac:dyDescent="0.3">
      <c r="B13" s="135" t="str">
        <f>Rates!C9</f>
        <v>Czech Republic</v>
      </c>
      <c r="C13" s="135" t="str">
        <f>Rates!D9</f>
        <v>Programme Countries</v>
      </c>
      <c r="D13" s="99">
        <f>Rates!E9</f>
        <v>164</v>
      </c>
      <c r="E13" s="99">
        <f>Rates!F9</f>
        <v>137</v>
      </c>
      <c r="F13" s="99">
        <f>Rates!G9</f>
        <v>102</v>
      </c>
      <c r="G13" s="99">
        <f>Rates!H9</f>
        <v>78</v>
      </c>
      <c r="I13" s="98" t="str">
        <f>Rates!P9</f>
        <v>4000 KM and 7999 KM</v>
      </c>
      <c r="J13" s="98">
        <f>Rates!Q9</f>
        <v>820</v>
      </c>
      <c r="L13" s="13">
        <v>6</v>
      </c>
      <c r="M13" s="99">
        <f t="shared" si="0"/>
        <v>330</v>
      </c>
      <c r="N13" s="99">
        <f t="shared" si="1"/>
        <v>720</v>
      </c>
      <c r="W13" s="131" t="str">
        <f>Rates!N9</f>
        <v>Czech Republic</v>
      </c>
      <c r="X13" s="131" t="str">
        <f>VLOOKUP(W13,Rates!$C$4:$L$182,2,FALSE)</f>
        <v>Programme Countries</v>
      </c>
      <c r="Y13" s="132">
        <f>VLOOKUP(W13,Rates!$C$4:$L$182,7,FALSE)</f>
        <v>800</v>
      </c>
      <c r="Z13" s="132">
        <f>VLOOKUP(W13,Rates!$C$4:$L$182,8,FALSE)</f>
        <v>0</v>
      </c>
      <c r="AA13" s="133">
        <f>VLOOKUP(W13,Rates!$C$4:$L$182,9,FALSE)</f>
        <v>140</v>
      </c>
      <c r="AB13" s="134">
        <f>VLOOKUP(W13,Rates!$C$4:$L$182,10,FALSE)</f>
        <v>0</v>
      </c>
    </row>
    <row r="14" spans="2:28" x14ac:dyDescent="0.3">
      <c r="B14" s="135" t="str">
        <f>Rates!C10</f>
        <v>Denmark</v>
      </c>
      <c r="C14" s="135" t="str">
        <f>Rates!D10</f>
        <v>Programme Countries</v>
      </c>
      <c r="D14" s="99">
        <f>Rates!E10</f>
        <v>294</v>
      </c>
      <c r="E14" s="99">
        <f>Rates!F10</f>
        <v>241</v>
      </c>
      <c r="F14" s="99">
        <f>Rates!G10</f>
        <v>190</v>
      </c>
      <c r="G14" s="99">
        <f>Rates!H10</f>
        <v>157</v>
      </c>
      <c r="I14" s="98" t="str">
        <f>Rates!P10</f>
        <v>8000 KM or more</v>
      </c>
      <c r="J14" s="98">
        <f>Rates!Q10</f>
        <v>1100</v>
      </c>
      <c r="L14" s="13">
        <v>7</v>
      </c>
      <c r="M14" s="99">
        <f t="shared" si="0"/>
        <v>385</v>
      </c>
      <c r="N14" s="99">
        <f t="shared" si="1"/>
        <v>840</v>
      </c>
      <c r="W14" s="131" t="str">
        <f>Rates!N10</f>
        <v>Denmark</v>
      </c>
      <c r="X14" s="131" t="str">
        <f>VLOOKUP(W14,Rates!$C$4:$L$182,2,FALSE)</f>
        <v>Programme Countries</v>
      </c>
      <c r="Y14" s="132">
        <f>VLOOKUP(W14,Rates!$C$4:$L$182,7,FALSE)</f>
        <v>850</v>
      </c>
      <c r="Z14" s="132">
        <f>VLOOKUP(W14,Rates!$C$4:$L$182,8,FALSE)</f>
        <v>0</v>
      </c>
      <c r="AA14" s="133">
        <f>VLOOKUP(W14,Rates!$C$4:$L$182,9,FALSE)</f>
        <v>160</v>
      </c>
      <c r="AB14" s="134">
        <f>VLOOKUP(W14,Rates!$C$4:$L$182,10,FALSE)</f>
        <v>0</v>
      </c>
    </row>
    <row r="15" spans="2:28" x14ac:dyDescent="0.3">
      <c r="B15" s="135" t="str">
        <f>Rates!C11</f>
        <v>Estonia</v>
      </c>
      <c r="C15" s="135" t="str">
        <f>Rates!D11</f>
        <v>Programme Countries</v>
      </c>
      <c r="D15" s="99">
        <f>Rates!E11</f>
        <v>88</v>
      </c>
      <c r="E15" s="99">
        <f>Rates!F11</f>
        <v>74</v>
      </c>
      <c r="F15" s="99">
        <f>Rates!G11</f>
        <v>55</v>
      </c>
      <c r="G15" s="99">
        <f>Rates!H11</f>
        <v>39</v>
      </c>
      <c r="I15" s="11"/>
      <c r="J15" s="14"/>
      <c r="L15" s="13">
        <v>8</v>
      </c>
      <c r="M15" s="99">
        <f t="shared" si="0"/>
        <v>440</v>
      </c>
      <c r="N15" s="99">
        <f t="shared" si="1"/>
        <v>960</v>
      </c>
      <c r="W15" s="131" t="str">
        <f>Rates!N11</f>
        <v>Estonia</v>
      </c>
      <c r="X15" s="131" t="str">
        <f>VLOOKUP(W15,Rates!$C$4:$L$182,2,FALSE)</f>
        <v>Programme Countries</v>
      </c>
      <c r="Y15" s="132">
        <f>VLOOKUP(W15,Rates!$C$4:$L$182,7,FALSE)</f>
        <v>750</v>
      </c>
      <c r="Z15" s="132">
        <f>VLOOKUP(W15,Rates!$C$4:$L$182,8,FALSE)</f>
        <v>0</v>
      </c>
      <c r="AA15" s="133">
        <f>VLOOKUP(W15,Rates!$C$4:$L$182,9,FALSE)</f>
        <v>100</v>
      </c>
      <c r="AB15" s="134">
        <f>VLOOKUP(W15,Rates!$C$4:$L$182,10,FALSE)</f>
        <v>0</v>
      </c>
    </row>
    <row r="16" spans="2:28" x14ac:dyDescent="0.3">
      <c r="B16" s="135" t="str">
        <f>Rates!C12</f>
        <v>Finland</v>
      </c>
      <c r="C16" s="135" t="str">
        <f>Rates!D12</f>
        <v>Programme Countries</v>
      </c>
      <c r="D16" s="99">
        <f>Rates!E12</f>
        <v>280</v>
      </c>
      <c r="E16" s="99">
        <f>Rates!F12</f>
        <v>214</v>
      </c>
      <c r="F16" s="99">
        <f>Rates!G12</f>
        <v>162</v>
      </c>
      <c r="G16" s="99">
        <f>Rates!H12</f>
        <v>131</v>
      </c>
      <c r="J16" s="14"/>
      <c r="L16" s="13">
        <v>9</v>
      </c>
      <c r="M16" s="99">
        <f t="shared" si="0"/>
        <v>495</v>
      </c>
      <c r="N16" s="99">
        <f t="shared" si="1"/>
        <v>1080</v>
      </c>
      <c r="W16" s="131" t="str">
        <f>Rates!N12</f>
        <v>Finland</v>
      </c>
      <c r="X16" s="131" t="str">
        <f>VLOOKUP(W16,Rates!$C$4:$L$182,2,FALSE)</f>
        <v>Programme Countries</v>
      </c>
      <c r="Y16" s="132">
        <f>VLOOKUP(W16,Rates!$C$4:$L$182,7,FALSE)</f>
        <v>850</v>
      </c>
      <c r="Z16" s="132">
        <f>VLOOKUP(W16,Rates!$C$4:$L$182,8,FALSE)</f>
        <v>0</v>
      </c>
      <c r="AA16" s="133">
        <f>VLOOKUP(W16,Rates!$C$4:$L$182,9,FALSE)</f>
        <v>140</v>
      </c>
      <c r="AB16" s="134">
        <f>VLOOKUP(W16,Rates!$C$4:$L$182,10,FALSE)</f>
        <v>0</v>
      </c>
    </row>
    <row r="17" spans="2:28" x14ac:dyDescent="0.3">
      <c r="B17" s="135" t="str">
        <f>Rates!C13</f>
        <v>former Yugoslav Republic of Macedonia</v>
      </c>
      <c r="C17" s="135" t="str">
        <f>Rates!D13</f>
        <v>Programme Countries</v>
      </c>
      <c r="D17" s="99">
        <f>Rates!E13</f>
        <v>88</v>
      </c>
      <c r="E17" s="99">
        <f>Rates!F13</f>
        <v>74</v>
      </c>
      <c r="F17" s="99">
        <f>Rates!G13</f>
        <v>55</v>
      </c>
      <c r="G17" s="99">
        <f>Rates!H13</f>
        <v>39</v>
      </c>
      <c r="L17" s="13">
        <v>10</v>
      </c>
      <c r="M17" s="99">
        <f t="shared" si="0"/>
        <v>550</v>
      </c>
      <c r="N17" s="99">
        <f t="shared" si="1"/>
        <v>1200</v>
      </c>
      <c r="W17" s="131" t="str">
        <f>Rates!N13</f>
        <v>former Yugoslav Republic of Macedonia</v>
      </c>
      <c r="X17" s="131" t="str">
        <f>VLOOKUP(W17,Rates!$C$4:$L$182,2,FALSE)</f>
        <v>Programme Countries</v>
      </c>
      <c r="Y17" s="132">
        <f>VLOOKUP(W17,Rates!$C$4:$L$182,7,FALSE)</f>
        <v>750</v>
      </c>
      <c r="Z17" s="132">
        <f>VLOOKUP(W17,Rates!$C$4:$L$182,8,FALSE)</f>
        <v>0</v>
      </c>
      <c r="AA17" s="133">
        <f>VLOOKUP(W17,Rates!$C$4:$L$182,9,FALSE)</f>
        <v>120</v>
      </c>
      <c r="AB17" s="134">
        <f>VLOOKUP(W17,Rates!$C$4:$L$182,10,FALSE)</f>
        <v>0</v>
      </c>
    </row>
    <row r="18" spans="2:28" ht="15" customHeight="1" x14ac:dyDescent="0.3">
      <c r="B18" s="135" t="str">
        <f>Rates!C14</f>
        <v>France</v>
      </c>
      <c r="C18" s="135" t="str">
        <f>Rates!D14</f>
        <v>Programme Countries</v>
      </c>
      <c r="D18" s="99">
        <f>Rates!E14</f>
        <v>280</v>
      </c>
      <c r="E18" s="99">
        <f>Rates!F14</f>
        <v>214</v>
      </c>
      <c r="F18" s="99">
        <f>Rates!G14</f>
        <v>162</v>
      </c>
      <c r="G18" s="99">
        <f>Rates!H14</f>
        <v>131</v>
      </c>
      <c r="L18" s="13">
        <v>11</v>
      </c>
      <c r="M18" s="99">
        <f t="shared" si="0"/>
        <v>605</v>
      </c>
      <c r="N18" s="99">
        <f t="shared" si="1"/>
        <v>1320</v>
      </c>
      <c r="W18" s="131" t="str">
        <f>Rates!N14</f>
        <v>France</v>
      </c>
      <c r="X18" s="131" t="str">
        <f>VLOOKUP(W18,Rates!$C$4:$L$182,2,FALSE)</f>
        <v>Programme Countries</v>
      </c>
      <c r="Y18" s="132">
        <f>VLOOKUP(W18,Rates!$C$4:$L$182,7,FALSE)</f>
        <v>850</v>
      </c>
      <c r="Z18" s="132">
        <f>VLOOKUP(W18,Rates!$C$4:$L$182,8,FALSE)</f>
        <v>0</v>
      </c>
      <c r="AA18" s="133">
        <f>VLOOKUP(W18,Rates!$C$4:$L$182,9,FALSE)</f>
        <v>140</v>
      </c>
      <c r="AB18" s="134">
        <f>VLOOKUP(W18,Rates!$C$4:$L$182,10,FALSE)</f>
        <v>0</v>
      </c>
    </row>
    <row r="19" spans="2:28" x14ac:dyDescent="0.3">
      <c r="B19" s="135" t="str">
        <f>Rates!C15</f>
        <v>Germany</v>
      </c>
      <c r="C19" s="135" t="str">
        <f>Rates!D15</f>
        <v>Programme Countries</v>
      </c>
      <c r="D19" s="99">
        <f>Rates!E15</f>
        <v>280</v>
      </c>
      <c r="E19" s="99">
        <f>Rates!F15</f>
        <v>214</v>
      </c>
      <c r="F19" s="99">
        <f>Rates!G15</f>
        <v>162</v>
      </c>
      <c r="G19" s="99">
        <f>Rates!H15</f>
        <v>131</v>
      </c>
      <c r="L19" s="13">
        <v>12</v>
      </c>
      <c r="M19" s="99">
        <f t="shared" si="0"/>
        <v>660</v>
      </c>
      <c r="N19" s="99">
        <f t="shared" si="1"/>
        <v>1440</v>
      </c>
      <c r="W19" s="131" t="str">
        <f>Rates!N15</f>
        <v>Germany</v>
      </c>
      <c r="X19" s="131" t="str">
        <f>VLOOKUP(W19,Rates!$C$4:$L$182,2,FALSE)</f>
        <v>Programme Countries</v>
      </c>
      <c r="Y19" s="132">
        <f>VLOOKUP(W19,Rates!$C$4:$L$182,7,FALSE)</f>
        <v>800</v>
      </c>
      <c r="Z19" s="132">
        <f>VLOOKUP(W19,Rates!$C$4:$L$182,8,FALSE)</f>
        <v>0</v>
      </c>
      <c r="AA19" s="133">
        <f>VLOOKUP(W19,Rates!$C$4:$L$182,9,FALSE)</f>
        <v>120</v>
      </c>
      <c r="AB19" s="134">
        <f>VLOOKUP(W19,Rates!$C$4:$L$182,10,FALSE)</f>
        <v>0</v>
      </c>
    </row>
    <row r="20" spans="2:28" x14ac:dyDescent="0.3">
      <c r="B20" s="135" t="str">
        <f>Rates!C16</f>
        <v>Greece</v>
      </c>
      <c r="C20" s="135" t="str">
        <f>Rates!D16</f>
        <v>Programme Countries</v>
      </c>
      <c r="D20" s="99">
        <f>Rates!E16</f>
        <v>164</v>
      </c>
      <c r="E20" s="99">
        <f>Rates!F16</f>
        <v>137</v>
      </c>
      <c r="F20" s="99">
        <f>Rates!G16</f>
        <v>102</v>
      </c>
      <c r="G20" s="99">
        <f>Rates!H16</f>
        <v>78</v>
      </c>
      <c r="L20" s="13">
        <v>13</v>
      </c>
      <c r="M20" s="99">
        <f t="shared" si="0"/>
        <v>715</v>
      </c>
      <c r="N20" s="99">
        <f t="shared" si="1"/>
        <v>1560</v>
      </c>
      <c r="W20" s="131" t="str">
        <f>Rates!N16</f>
        <v>Greece</v>
      </c>
      <c r="X20" s="131" t="str">
        <f>VLOOKUP(W20,Rates!$C$4:$L$182,2,FALSE)</f>
        <v>Programme Countries</v>
      </c>
      <c r="Y20" s="132">
        <f>VLOOKUP(W20,Rates!$C$4:$L$182,7,FALSE)</f>
        <v>800</v>
      </c>
      <c r="Z20" s="132">
        <f>VLOOKUP(W20,Rates!$C$4:$L$182,8,FALSE)</f>
        <v>0</v>
      </c>
      <c r="AA20" s="133">
        <f>VLOOKUP(W20,Rates!$C$4:$L$182,9,FALSE)</f>
        <v>140</v>
      </c>
      <c r="AB20" s="134">
        <f>VLOOKUP(W20,Rates!$C$4:$L$182,10,FALSE)</f>
        <v>0</v>
      </c>
    </row>
    <row r="21" spans="2:28" x14ac:dyDescent="0.3">
      <c r="B21" s="135" t="str">
        <f>Rates!C17</f>
        <v>Hungary</v>
      </c>
      <c r="C21" s="135" t="str">
        <f>Rates!D17</f>
        <v>Programme Countries</v>
      </c>
      <c r="D21" s="99">
        <f>Rates!E17</f>
        <v>88</v>
      </c>
      <c r="E21" s="99">
        <f>Rates!F17</f>
        <v>74</v>
      </c>
      <c r="F21" s="99">
        <f>Rates!G17</f>
        <v>55</v>
      </c>
      <c r="G21" s="99">
        <f>Rates!H17</f>
        <v>39</v>
      </c>
      <c r="L21" s="13">
        <v>14</v>
      </c>
      <c r="M21" s="99">
        <f t="shared" si="0"/>
        <v>770</v>
      </c>
      <c r="N21" s="99">
        <f t="shared" si="1"/>
        <v>1680</v>
      </c>
      <c r="W21" s="131" t="str">
        <f>Rates!N17</f>
        <v>Hungary</v>
      </c>
      <c r="X21" s="131" t="str">
        <f>VLOOKUP(W21,Rates!$C$4:$L$182,2,FALSE)</f>
        <v>Programme Countries</v>
      </c>
      <c r="Y21" s="132">
        <f>VLOOKUP(W21,Rates!$C$4:$L$182,7,FALSE)</f>
        <v>750</v>
      </c>
      <c r="Z21" s="132">
        <f>VLOOKUP(W21,Rates!$C$4:$L$182,8,FALSE)</f>
        <v>0</v>
      </c>
      <c r="AA21" s="133">
        <f>VLOOKUP(W21,Rates!$C$4:$L$182,9,FALSE)</f>
        <v>140</v>
      </c>
      <c r="AB21" s="134">
        <f>VLOOKUP(W21,Rates!$C$4:$L$182,10,FALSE)</f>
        <v>0</v>
      </c>
    </row>
    <row r="22" spans="2:28" x14ac:dyDescent="0.3">
      <c r="B22" s="135" t="str">
        <f>Rates!C18</f>
        <v>Iceland</v>
      </c>
      <c r="C22" s="135" t="str">
        <f>Rates!D18</f>
        <v>Programme Countries</v>
      </c>
      <c r="D22" s="99">
        <f>Rates!E18</f>
        <v>280</v>
      </c>
      <c r="E22" s="99">
        <f>Rates!F18</f>
        <v>214</v>
      </c>
      <c r="F22" s="99">
        <f>Rates!G18</f>
        <v>162</v>
      </c>
      <c r="G22" s="99">
        <f>Rates!H18</f>
        <v>131</v>
      </c>
      <c r="L22" s="13">
        <v>15</v>
      </c>
      <c r="M22" s="100">
        <f>((L22-$L$21)*40)+770</f>
        <v>810</v>
      </c>
      <c r="N22" s="121">
        <f>((L22-$L$21)*70)+1680</f>
        <v>1750</v>
      </c>
      <c r="W22" s="131" t="str">
        <f>Rates!N18</f>
        <v>Iceland</v>
      </c>
      <c r="X22" s="131" t="str">
        <f>VLOOKUP(W22,Rates!$C$4:$L$182,2,FALSE)</f>
        <v>Programme Countries</v>
      </c>
      <c r="Y22" s="132">
        <f>VLOOKUP(W22,Rates!$C$4:$L$182,7,FALSE)</f>
        <v>800</v>
      </c>
      <c r="Z22" s="132">
        <f>VLOOKUP(W22,Rates!$C$4:$L$182,8,FALSE)</f>
        <v>0</v>
      </c>
      <c r="AA22" s="133">
        <f>VLOOKUP(W22,Rates!$C$4:$L$182,9,FALSE)</f>
        <v>140</v>
      </c>
      <c r="AB22" s="134">
        <f>VLOOKUP(W22,Rates!$C$4:$L$182,10,FALSE)</f>
        <v>0</v>
      </c>
    </row>
    <row r="23" spans="2:28" x14ac:dyDescent="0.3">
      <c r="B23" s="135" t="str">
        <f>Rates!C19</f>
        <v>Ireland</v>
      </c>
      <c r="C23" s="135" t="str">
        <f>Rates!D19</f>
        <v>Programme Countries</v>
      </c>
      <c r="D23" s="99">
        <f>Rates!E19</f>
        <v>294</v>
      </c>
      <c r="E23" s="99">
        <f>Rates!F19</f>
        <v>241</v>
      </c>
      <c r="F23" s="99">
        <f>Rates!G19</f>
        <v>190</v>
      </c>
      <c r="G23" s="99">
        <f>Rates!H19</f>
        <v>157</v>
      </c>
      <c r="L23" s="13">
        <v>16</v>
      </c>
      <c r="M23" s="100">
        <f t="shared" ref="M23:M86" si="2">((L23-$L$21)*40)+770</f>
        <v>850</v>
      </c>
      <c r="N23" s="121">
        <f t="shared" ref="N23:N67" si="3">((L23-$L$21)*70)+1680</f>
        <v>1820</v>
      </c>
      <c r="W23" s="131" t="str">
        <f>Rates!N19</f>
        <v>Ireland</v>
      </c>
      <c r="X23" s="131" t="str">
        <f>VLOOKUP(W23,Rates!$C$4:$L$182,2,FALSE)</f>
        <v>Programme Countries</v>
      </c>
      <c r="Y23" s="132">
        <f>VLOOKUP(W23,Rates!$C$4:$L$182,7,FALSE)</f>
        <v>850</v>
      </c>
      <c r="Z23" s="132">
        <f>VLOOKUP(W23,Rates!$C$4:$L$182,8,FALSE)</f>
        <v>0</v>
      </c>
      <c r="AA23" s="133">
        <f>VLOOKUP(W23,Rates!$C$4:$L$182,9,FALSE)</f>
        <v>160</v>
      </c>
      <c r="AB23" s="134">
        <f>VLOOKUP(W23,Rates!$C$4:$L$182,10,FALSE)</f>
        <v>0</v>
      </c>
    </row>
    <row r="24" spans="2:28" x14ac:dyDescent="0.3">
      <c r="B24" s="135" t="str">
        <f>Rates!C20</f>
        <v>Italy</v>
      </c>
      <c r="C24" s="135" t="str">
        <f>Rates!D20</f>
        <v>Programme Countries</v>
      </c>
      <c r="D24" s="99">
        <f>Rates!E20</f>
        <v>280</v>
      </c>
      <c r="E24" s="99">
        <f>Rates!F20</f>
        <v>214</v>
      </c>
      <c r="F24" s="99">
        <f>Rates!G20</f>
        <v>162</v>
      </c>
      <c r="G24" s="99">
        <f>Rates!H20</f>
        <v>131</v>
      </c>
      <c r="L24" s="13">
        <v>17</v>
      </c>
      <c r="M24" s="100">
        <f t="shared" si="2"/>
        <v>890</v>
      </c>
      <c r="N24" s="121">
        <f t="shared" si="3"/>
        <v>1890</v>
      </c>
      <c r="W24" s="131" t="str">
        <f>Rates!N20</f>
        <v>Italy</v>
      </c>
      <c r="X24" s="131" t="str">
        <f>VLOOKUP(W24,Rates!$C$4:$L$182,2,FALSE)</f>
        <v>Programme Countries</v>
      </c>
      <c r="Y24" s="132">
        <f>VLOOKUP(W24,Rates!$C$4:$L$182,7,FALSE)</f>
        <v>850</v>
      </c>
      <c r="Z24" s="132">
        <f>VLOOKUP(W24,Rates!$C$4:$L$182,8,FALSE)</f>
        <v>0</v>
      </c>
      <c r="AA24" s="133">
        <f>VLOOKUP(W24,Rates!$C$4:$L$182,9,FALSE)</f>
        <v>140</v>
      </c>
      <c r="AB24" s="134">
        <f>VLOOKUP(W24,Rates!$C$4:$L$182,10,FALSE)</f>
        <v>0</v>
      </c>
    </row>
    <row r="25" spans="2:28" x14ac:dyDescent="0.3">
      <c r="B25" s="135" t="str">
        <f>Rates!C21</f>
        <v>Latvia</v>
      </c>
      <c r="C25" s="135" t="str">
        <f>Rates!D21</f>
        <v>Programme Countries</v>
      </c>
      <c r="D25" s="99">
        <f>Rates!E21</f>
        <v>88</v>
      </c>
      <c r="E25" s="99">
        <f>Rates!F21</f>
        <v>74</v>
      </c>
      <c r="F25" s="99">
        <f>Rates!G21</f>
        <v>55</v>
      </c>
      <c r="G25" s="99">
        <f>Rates!H21</f>
        <v>39</v>
      </c>
      <c r="L25" s="13">
        <v>18</v>
      </c>
      <c r="M25" s="100">
        <f t="shared" si="2"/>
        <v>930</v>
      </c>
      <c r="N25" s="121">
        <f t="shared" si="3"/>
        <v>1960</v>
      </c>
      <c r="W25" s="131" t="str">
        <f>Rates!N21</f>
        <v>Latvia</v>
      </c>
      <c r="X25" s="131" t="str">
        <f>VLOOKUP(W25,Rates!$C$4:$L$182,2,FALSE)</f>
        <v>Programme Countries</v>
      </c>
      <c r="Y25" s="132">
        <f>VLOOKUP(W25,Rates!$C$4:$L$182,7,FALSE)</f>
        <v>750</v>
      </c>
      <c r="Z25" s="132">
        <f>VLOOKUP(W25,Rates!$C$4:$L$182,8,FALSE)</f>
        <v>0</v>
      </c>
      <c r="AA25" s="133">
        <f>VLOOKUP(W25,Rates!$C$4:$L$182,9,FALSE)</f>
        <v>120</v>
      </c>
      <c r="AB25" s="134">
        <f>VLOOKUP(W25,Rates!$C$4:$L$182,10,FALSE)</f>
        <v>0</v>
      </c>
    </row>
    <row r="26" spans="2:28" x14ac:dyDescent="0.3">
      <c r="B26" s="135" t="str">
        <f>Rates!C22</f>
        <v>Liechtenstein</v>
      </c>
      <c r="C26" s="135" t="str">
        <f>Rates!D22</f>
        <v>Programme Countries</v>
      </c>
      <c r="D26" s="99">
        <f>Rates!E22</f>
        <v>294</v>
      </c>
      <c r="E26" s="99">
        <f>Rates!F22</f>
        <v>241</v>
      </c>
      <c r="F26" s="99">
        <f>Rates!G22</f>
        <v>190</v>
      </c>
      <c r="G26" s="99">
        <f>Rates!H22</f>
        <v>157</v>
      </c>
      <c r="L26" s="13">
        <v>19</v>
      </c>
      <c r="M26" s="100">
        <f t="shared" si="2"/>
        <v>970</v>
      </c>
      <c r="N26" s="121">
        <f t="shared" si="3"/>
        <v>2030</v>
      </c>
      <c r="W26" s="131" t="str">
        <f>Rates!N22</f>
        <v>Liechtenstein</v>
      </c>
      <c r="X26" s="131" t="str">
        <f>VLOOKUP(W26,Rates!$C$4:$L$182,2,FALSE)</f>
        <v>Programme Countries</v>
      </c>
      <c r="Y26" s="132">
        <f>VLOOKUP(W26,Rates!$C$4:$L$182,7,FALSE)</f>
        <v>850</v>
      </c>
      <c r="Z26" s="132">
        <f>VLOOKUP(W26,Rates!$C$4:$L$182,8,FALSE)</f>
        <v>0</v>
      </c>
      <c r="AA26" s="133">
        <f>VLOOKUP(W26,Rates!$C$4:$L$182,9,FALSE)</f>
        <v>140</v>
      </c>
      <c r="AB26" s="134">
        <f>VLOOKUP(W26,Rates!$C$4:$L$182,10,FALSE)</f>
        <v>0</v>
      </c>
    </row>
    <row r="27" spans="2:28" x14ac:dyDescent="0.3">
      <c r="B27" s="135" t="str">
        <f>Rates!C23</f>
        <v>Lithuania</v>
      </c>
      <c r="C27" s="135" t="str">
        <f>Rates!D23</f>
        <v>Programme Countries</v>
      </c>
      <c r="D27" s="99">
        <f>Rates!E23</f>
        <v>88</v>
      </c>
      <c r="E27" s="99">
        <f>Rates!F23</f>
        <v>74</v>
      </c>
      <c r="F27" s="99">
        <f>Rates!G23</f>
        <v>55</v>
      </c>
      <c r="G27" s="99">
        <f>Rates!H23</f>
        <v>39</v>
      </c>
      <c r="L27" s="13">
        <v>20</v>
      </c>
      <c r="M27" s="100">
        <f t="shared" si="2"/>
        <v>1010</v>
      </c>
      <c r="N27" s="121">
        <f t="shared" si="3"/>
        <v>2100</v>
      </c>
      <c r="W27" s="131" t="str">
        <f>Rates!N23</f>
        <v>Lithuania</v>
      </c>
      <c r="X27" s="131" t="str">
        <f>VLOOKUP(W27,Rates!$C$4:$L$182,2,FALSE)</f>
        <v>Programme Countries</v>
      </c>
      <c r="Y27" s="132">
        <f>VLOOKUP(W27,Rates!$C$4:$L$182,7,FALSE)</f>
        <v>750</v>
      </c>
      <c r="Z27" s="132">
        <f>VLOOKUP(W27,Rates!$C$4:$L$182,8,FALSE)</f>
        <v>0</v>
      </c>
      <c r="AA27" s="133">
        <f>VLOOKUP(W27,Rates!$C$4:$L$182,9,FALSE)</f>
        <v>100</v>
      </c>
      <c r="AB27" s="134">
        <f>VLOOKUP(W27,Rates!$C$4:$L$182,10,FALSE)</f>
        <v>0</v>
      </c>
    </row>
    <row r="28" spans="2:28" x14ac:dyDescent="0.3">
      <c r="B28" s="135" t="str">
        <f>Rates!C24</f>
        <v>Luxembourg</v>
      </c>
      <c r="C28" s="135" t="str">
        <f>Rates!D24</f>
        <v>Programme Countries</v>
      </c>
      <c r="D28" s="99">
        <f>Rates!E24</f>
        <v>294</v>
      </c>
      <c r="E28" s="99">
        <f>Rates!F24</f>
        <v>241</v>
      </c>
      <c r="F28" s="99">
        <f>Rates!G24</f>
        <v>190</v>
      </c>
      <c r="G28" s="99">
        <f>Rates!H24</f>
        <v>157</v>
      </c>
      <c r="L28" s="13">
        <v>21</v>
      </c>
      <c r="M28" s="100">
        <f t="shared" si="2"/>
        <v>1050</v>
      </c>
      <c r="N28" s="121">
        <f t="shared" si="3"/>
        <v>2170</v>
      </c>
      <c r="W28" s="131" t="str">
        <f>Rates!N24</f>
        <v>Luxembourg</v>
      </c>
      <c r="X28" s="131" t="str">
        <f>VLOOKUP(W28,Rates!$C$4:$L$182,2,FALSE)</f>
        <v>Programme Countries</v>
      </c>
      <c r="Y28" s="132">
        <f>VLOOKUP(W28,Rates!$C$4:$L$182,7,FALSE)</f>
        <v>800</v>
      </c>
      <c r="Z28" s="132">
        <f>VLOOKUP(W28,Rates!$C$4:$L$182,8,FALSE)</f>
        <v>0</v>
      </c>
      <c r="AA28" s="133">
        <f>VLOOKUP(W28,Rates!$C$4:$L$182,9,FALSE)</f>
        <v>140</v>
      </c>
      <c r="AB28" s="134">
        <f>VLOOKUP(W28,Rates!$C$4:$L$182,10,FALSE)</f>
        <v>0</v>
      </c>
    </row>
    <row r="29" spans="2:28" x14ac:dyDescent="0.3">
      <c r="B29" s="135" t="str">
        <f>Rates!C25</f>
        <v>Malta</v>
      </c>
      <c r="C29" s="135" t="str">
        <f>Rates!D25</f>
        <v>Programme Countries</v>
      </c>
      <c r="D29" s="99">
        <f>Rates!E25</f>
        <v>164</v>
      </c>
      <c r="E29" s="99">
        <f>Rates!F25</f>
        <v>137</v>
      </c>
      <c r="F29" s="99">
        <f>Rates!G25</f>
        <v>102</v>
      </c>
      <c r="G29" s="99">
        <f>Rates!H25</f>
        <v>78</v>
      </c>
      <c r="L29" s="13">
        <v>22</v>
      </c>
      <c r="M29" s="100">
        <f t="shared" si="2"/>
        <v>1090</v>
      </c>
      <c r="N29" s="121">
        <f t="shared" si="3"/>
        <v>2240</v>
      </c>
      <c r="W29" s="131" t="str">
        <f>Rates!N25</f>
        <v>Malta</v>
      </c>
      <c r="X29" s="131" t="str">
        <f>VLOOKUP(W29,Rates!$C$4:$L$182,2,FALSE)</f>
        <v>Programme Countries</v>
      </c>
      <c r="Y29" s="132">
        <f>VLOOKUP(W29,Rates!$C$4:$L$182,7,FALSE)</f>
        <v>750</v>
      </c>
      <c r="Z29" s="132">
        <f>VLOOKUP(W29,Rates!$C$4:$L$182,8,FALSE)</f>
        <v>0</v>
      </c>
      <c r="AA29" s="133">
        <f>VLOOKUP(W29,Rates!$C$4:$L$182,9,FALSE)</f>
        <v>120</v>
      </c>
      <c r="AB29" s="134">
        <f>VLOOKUP(W29,Rates!$C$4:$L$182,10,FALSE)</f>
        <v>0</v>
      </c>
    </row>
    <row r="30" spans="2:28" x14ac:dyDescent="0.3">
      <c r="B30" s="135" t="str">
        <f>Rates!C26</f>
        <v>Netherlands</v>
      </c>
      <c r="C30" s="135" t="str">
        <f>Rates!D26</f>
        <v>Programme Countries</v>
      </c>
      <c r="D30" s="99">
        <f>Rates!E26</f>
        <v>294</v>
      </c>
      <c r="E30" s="99">
        <f>Rates!F26</f>
        <v>241</v>
      </c>
      <c r="F30" s="99">
        <f>Rates!G26</f>
        <v>190</v>
      </c>
      <c r="G30" s="99">
        <f>Rates!H26</f>
        <v>157</v>
      </c>
      <c r="L30" s="13">
        <v>23</v>
      </c>
      <c r="M30" s="100">
        <f t="shared" si="2"/>
        <v>1130</v>
      </c>
      <c r="N30" s="121">
        <f t="shared" si="3"/>
        <v>2310</v>
      </c>
      <c r="W30" s="131" t="str">
        <f>Rates!N26</f>
        <v>Netherlands</v>
      </c>
      <c r="X30" s="131" t="str">
        <f>VLOOKUP(W30,Rates!$C$4:$L$182,2,FALSE)</f>
        <v>Programme Countries</v>
      </c>
      <c r="Y30" s="132">
        <f>VLOOKUP(W30,Rates!$C$4:$L$182,7,FALSE)</f>
        <v>800</v>
      </c>
      <c r="Z30" s="132">
        <f>VLOOKUP(W30,Rates!$C$4:$L$182,8,FALSE)</f>
        <v>0</v>
      </c>
      <c r="AA30" s="133">
        <f>VLOOKUP(W30,Rates!$C$4:$L$182,9,FALSE)</f>
        <v>160</v>
      </c>
      <c r="AB30" s="134">
        <f>VLOOKUP(W30,Rates!$C$4:$L$182,10,FALSE)</f>
        <v>0</v>
      </c>
    </row>
    <row r="31" spans="2:28" x14ac:dyDescent="0.3">
      <c r="B31" s="135" t="str">
        <f>Rates!C27</f>
        <v>Norway</v>
      </c>
      <c r="C31" s="135" t="str">
        <f>Rates!D27</f>
        <v>Programme Countries</v>
      </c>
      <c r="D31" s="99">
        <f>Rates!E27</f>
        <v>294</v>
      </c>
      <c r="E31" s="99">
        <f>Rates!F27</f>
        <v>241</v>
      </c>
      <c r="F31" s="99">
        <f>Rates!G27</f>
        <v>190</v>
      </c>
      <c r="G31" s="99">
        <f>Rates!H27</f>
        <v>157</v>
      </c>
      <c r="L31" s="13">
        <v>24</v>
      </c>
      <c r="M31" s="100">
        <f t="shared" si="2"/>
        <v>1170</v>
      </c>
      <c r="N31" s="121">
        <f t="shared" si="3"/>
        <v>2380</v>
      </c>
      <c r="W31" s="131" t="str">
        <f>Rates!N27</f>
        <v>Norway</v>
      </c>
      <c r="X31" s="131" t="str">
        <f>VLOOKUP(W31,Rates!$C$4:$L$182,2,FALSE)</f>
        <v>Programme Countries</v>
      </c>
      <c r="Y31" s="132">
        <f>VLOOKUP(W31,Rates!$C$4:$L$182,7,FALSE)</f>
        <v>850</v>
      </c>
      <c r="Z31" s="132">
        <f>VLOOKUP(W31,Rates!$C$4:$L$182,8,FALSE)</f>
        <v>0</v>
      </c>
      <c r="AA31" s="133">
        <f>VLOOKUP(W31,Rates!$C$4:$L$182,9,FALSE)</f>
        <v>140</v>
      </c>
      <c r="AB31" s="134">
        <f>VLOOKUP(W31,Rates!$C$4:$L$182,10,FALSE)</f>
        <v>0</v>
      </c>
    </row>
    <row r="32" spans="2:28" x14ac:dyDescent="0.3">
      <c r="B32" s="135" t="str">
        <f>Rates!C28</f>
        <v>Poland</v>
      </c>
      <c r="C32" s="135" t="str">
        <f>Rates!D28</f>
        <v>Programme Countries</v>
      </c>
      <c r="D32" s="99">
        <f>Rates!E28</f>
        <v>88</v>
      </c>
      <c r="E32" s="99">
        <f>Rates!F28</f>
        <v>74</v>
      </c>
      <c r="F32" s="99">
        <f>Rates!G28</f>
        <v>55</v>
      </c>
      <c r="G32" s="99">
        <f>Rates!H28</f>
        <v>39</v>
      </c>
      <c r="L32" s="13">
        <v>25</v>
      </c>
      <c r="M32" s="100">
        <f t="shared" si="2"/>
        <v>1210</v>
      </c>
      <c r="N32" s="121">
        <f t="shared" si="3"/>
        <v>2450</v>
      </c>
      <c r="W32" s="131" t="str">
        <f>Rates!N28</f>
        <v>Poland</v>
      </c>
      <c r="X32" s="131" t="str">
        <f>VLOOKUP(W32,Rates!$C$4:$L$182,2,FALSE)</f>
        <v>Programme Countries</v>
      </c>
      <c r="Y32" s="132">
        <f>VLOOKUP(W32,Rates!$C$4:$L$182,7,FALSE)</f>
        <v>750</v>
      </c>
      <c r="Z32" s="132">
        <f>VLOOKUP(W32,Rates!$C$4:$L$182,8,FALSE)</f>
        <v>0</v>
      </c>
      <c r="AA32" s="133">
        <f>VLOOKUP(W32,Rates!$C$4:$L$182,9,FALSE)</f>
        <v>140</v>
      </c>
      <c r="AB32" s="134">
        <f>VLOOKUP(W32,Rates!$C$4:$L$182,10,FALSE)</f>
        <v>0</v>
      </c>
    </row>
    <row r="33" spans="2:28" x14ac:dyDescent="0.3">
      <c r="B33" s="135" t="str">
        <f>Rates!C29</f>
        <v>Portugal</v>
      </c>
      <c r="C33" s="135" t="str">
        <f>Rates!D29</f>
        <v>Programme Countries</v>
      </c>
      <c r="D33" s="99">
        <f>Rates!E29</f>
        <v>164</v>
      </c>
      <c r="E33" s="99">
        <f>Rates!F29</f>
        <v>137</v>
      </c>
      <c r="F33" s="99">
        <f>Rates!G29</f>
        <v>102</v>
      </c>
      <c r="G33" s="99">
        <f>Rates!H29</f>
        <v>78</v>
      </c>
      <c r="L33" s="13">
        <v>26</v>
      </c>
      <c r="M33" s="100">
        <f t="shared" si="2"/>
        <v>1250</v>
      </c>
      <c r="N33" s="121">
        <f t="shared" si="3"/>
        <v>2520</v>
      </c>
      <c r="W33" s="131" t="str">
        <f>Rates!N29</f>
        <v>Portugal</v>
      </c>
      <c r="X33" s="131" t="str">
        <f>VLOOKUP(W33,Rates!$C$4:$L$182,2,FALSE)</f>
        <v>Programme Countries</v>
      </c>
      <c r="Y33" s="132">
        <f>VLOOKUP(W33,Rates!$C$4:$L$182,7,FALSE)</f>
        <v>800</v>
      </c>
      <c r="Z33" s="132">
        <f>VLOOKUP(W33,Rates!$C$4:$L$182,8,FALSE)</f>
        <v>0</v>
      </c>
      <c r="AA33" s="133">
        <f>VLOOKUP(W33,Rates!$C$4:$L$182,9,FALSE)</f>
        <v>120</v>
      </c>
      <c r="AB33" s="134">
        <f>VLOOKUP(W33,Rates!$C$4:$L$182,10,FALSE)</f>
        <v>0</v>
      </c>
    </row>
    <row r="34" spans="2:28" x14ac:dyDescent="0.3">
      <c r="B34" s="135" t="str">
        <f>Rates!C30</f>
        <v>Romania</v>
      </c>
      <c r="C34" s="135" t="str">
        <f>Rates!D30</f>
        <v>Programme Countries</v>
      </c>
      <c r="D34" s="99">
        <f>Rates!E30</f>
        <v>88</v>
      </c>
      <c r="E34" s="99">
        <f>Rates!F30</f>
        <v>74</v>
      </c>
      <c r="F34" s="99">
        <f>Rates!G30</f>
        <v>55</v>
      </c>
      <c r="G34" s="99">
        <f>Rates!H30</f>
        <v>39</v>
      </c>
      <c r="L34" s="13">
        <v>27</v>
      </c>
      <c r="M34" s="100">
        <f t="shared" si="2"/>
        <v>1290</v>
      </c>
      <c r="N34" s="121">
        <f t="shared" si="3"/>
        <v>2590</v>
      </c>
      <c r="W34" s="131" t="str">
        <f>Rates!N30</f>
        <v>Romania</v>
      </c>
      <c r="X34" s="131" t="str">
        <f>VLOOKUP(W34,Rates!$C$4:$L$182,2,FALSE)</f>
        <v>Programme Countries</v>
      </c>
      <c r="Y34" s="132">
        <f>VLOOKUP(W34,Rates!$C$4:$L$182,7,FALSE)</f>
        <v>750</v>
      </c>
      <c r="Z34" s="132">
        <f>VLOOKUP(W34,Rates!$C$4:$L$182,8,FALSE)</f>
        <v>0</v>
      </c>
      <c r="AA34" s="133">
        <f>VLOOKUP(W34,Rates!$C$4:$L$182,9,FALSE)</f>
        <v>140</v>
      </c>
      <c r="AB34" s="134">
        <f>VLOOKUP(W34,Rates!$C$4:$L$182,10,FALSE)</f>
        <v>0</v>
      </c>
    </row>
    <row r="35" spans="2:28" x14ac:dyDescent="0.3">
      <c r="B35" s="135" t="str">
        <f>Rates!C31</f>
        <v>Slovakia</v>
      </c>
      <c r="C35" s="135" t="str">
        <f>Rates!D31</f>
        <v>Programme Countries</v>
      </c>
      <c r="D35" s="99">
        <f>Rates!E31</f>
        <v>88</v>
      </c>
      <c r="E35" s="99">
        <f>Rates!F31</f>
        <v>74</v>
      </c>
      <c r="F35" s="99">
        <f>Rates!G31</f>
        <v>55</v>
      </c>
      <c r="G35" s="99">
        <f>Rates!H31</f>
        <v>39</v>
      </c>
      <c r="L35" s="13">
        <v>28</v>
      </c>
      <c r="M35" s="100">
        <f t="shared" si="2"/>
        <v>1330</v>
      </c>
      <c r="N35" s="121">
        <f t="shared" si="3"/>
        <v>2660</v>
      </c>
      <c r="W35" s="131" t="str">
        <f>Rates!N31</f>
        <v>Slovakia</v>
      </c>
      <c r="X35" s="131" t="str">
        <f>VLOOKUP(W35,Rates!$C$4:$L$182,2,FALSE)</f>
        <v>Programme Countries</v>
      </c>
      <c r="Y35" s="132">
        <f>VLOOKUP(W35,Rates!$C$4:$L$182,7,FALSE)</f>
        <v>750</v>
      </c>
      <c r="Z35" s="132">
        <f>VLOOKUP(W35,Rates!$C$4:$L$182,8,FALSE)</f>
        <v>0</v>
      </c>
      <c r="AA35" s="133">
        <f>VLOOKUP(W35,Rates!$C$4:$L$182,9,FALSE)</f>
        <v>120</v>
      </c>
      <c r="AB35" s="134">
        <f>VLOOKUP(W35,Rates!$C$4:$L$182,10,FALSE)</f>
        <v>0</v>
      </c>
    </row>
    <row r="36" spans="2:28" x14ac:dyDescent="0.3">
      <c r="B36" s="135" t="str">
        <f>Rates!C32</f>
        <v>Slovenia</v>
      </c>
      <c r="C36" s="135" t="str">
        <f>Rates!D32</f>
        <v>Programme Countries</v>
      </c>
      <c r="D36" s="99">
        <f>Rates!E32</f>
        <v>164</v>
      </c>
      <c r="E36" s="99">
        <f>Rates!F32</f>
        <v>137</v>
      </c>
      <c r="F36" s="99">
        <f>Rates!G32</f>
        <v>102</v>
      </c>
      <c r="G36" s="99">
        <f>Rates!H32</f>
        <v>78</v>
      </c>
      <c r="L36" s="13">
        <v>29</v>
      </c>
      <c r="M36" s="100">
        <f t="shared" si="2"/>
        <v>1370</v>
      </c>
      <c r="N36" s="121">
        <f t="shared" si="3"/>
        <v>2730</v>
      </c>
      <c r="W36" s="131" t="str">
        <f>Rates!N32</f>
        <v>Slovenia</v>
      </c>
      <c r="X36" s="131" t="str">
        <f>VLOOKUP(W36,Rates!$C$4:$L$182,2,FALSE)</f>
        <v>Programme Countries</v>
      </c>
      <c r="Y36" s="132">
        <f>VLOOKUP(W36,Rates!$C$4:$L$182,7,FALSE)</f>
        <v>800</v>
      </c>
      <c r="Z36" s="132">
        <f>VLOOKUP(W36,Rates!$C$4:$L$182,8,FALSE)</f>
        <v>0</v>
      </c>
      <c r="AA36" s="133">
        <f>VLOOKUP(W36,Rates!$C$4:$L$182,9,FALSE)</f>
        <v>100</v>
      </c>
      <c r="AB36" s="134">
        <f>VLOOKUP(W36,Rates!$C$4:$L$182,10,FALSE)</f>
        <v>0</v>
      </c>
    </row>
    <row r="37" spans="2:28" x14ac:dyDescent="0.3">
      <c r="B37" s="135" t="str">
        <f>Rates!C33</f>
        <v>Spain</v>
      </c>
      <c r="C37" s="135" t="str">
        <f>Rates!D33</f>
        <v>Programme Countries</v>
      </c>
      <c r="D37" s="99">
        <f>Rates!E33</f>
        <v>164</v>
      </c>
      <c r="E37" s="99">
        <f>Rates!F33</f>
        <v>137</v>
      </c>
      <c r="F37" s="99">
        <f>Rates!G33</f>
        <v>102</v>
      </c>
      <c r="G37" s="99">
        <f>Rates!H33</f>
        <v>78</v>
      </c>
      <c r="L37" s="13">
        <v>30</v>
      </c>
      <c r="M37" s="100">
        <f t="shared" si="2"/>
        <v>1410</v>
      </c>
      <c r="N37" s="121">
        <f t="shared" si="3"/>
        <v>2800</v>
      </c>
      <c r="W37" s="131" t="str">
        <f>Rates!N33</f>
        <v>Spain</v>
      </c>
      <c r="X37" s="131" t="str">
        <f>VLOOKUP(W37,Rates!$C$4:$L$182,2,FALSE)</f>
        <v>Programme Countries</v>
      </c>
      <c r="Y37" s="132">
        <f>VLOOKUP(W37,Rates!$C$4:$L$182,7,FALSE)</f>
        <v>800</v>
      </c>
      <c r="Z37" s="132">
        <f>VLOOKUP(W37,Rates!$C$4:$L$182,8,FALSE)</f>
        <v>0</v>
      </c>
      <c r="AA37" s="133">
        <f>VLOOKUP(W37,Rates!$C$4:$L$182,9,FALSE)</f>
        <v>120</v>
      </c>
      <c r="AB37" s="134">
        <f>VLOOKUP(W37,Rates!$C$4:$L$182,10,FALSE)</f>
        <v>0</v>
      </c>
    </row>
    <row r="38" spans="2:28" x14ac:dyDescent="0.3">
      <c r="B38" s="135" t="str">
        <f>Rates!C34</f>
        <v>Sweden</v>
      </c>
      <c r="C38" s="135" t="str">
        <f>Rates!D34</f>
        <v>Programme Countries</v>
      </c>
      <c r="D38" s="99">
        <f>Rates!E34</f>
        <v>294</v>
      </c>
      <c r="E38" s="99">
        <f>Rates!F34</f>
        <v>241</v>
      </c>
      <c r="F38" s="99">
        <f>Rates!G34</f>
        <v>190</v>
      </c>
      <c r="G38" s="99">
        <f>Rates!H34</f>
        <v>157</v>
      </c>
      <c r="L38" s="13">
        <v>31</v>
      </c>
      <c r="M38" s="100">
        <f t="shared" si="2"/>
        <v>1450</v>
      </c>
      <c r="N38" s="121">
        <f t="shared" si="3"/>
        <v>2870</v>
      </c>
      <c r="W38" s="131" t="str">
        <f>Rates!N34</f>
        <v>Sweden</v>
      </c>
      <c r="X38" s="131" t="str">
        <f>VLOOKUP(W38,Rates!$C$4:$L$182,2,FALSE)</f>
        <v>Programme Countries</v>
      </c>
      <c r="Y38" s="132">
        <f>VLOOKUP(W38,Rates!$C$4:$L$182,7,FALSE)</f>
        <v>850</v>
      </c>
      <c r="Z38" s="132">
        <f>VLOOKUP(W38,Rates!$C$4:$L$182,8,FALSE)</f>
        <v>0</v>
      </c>
      <c r="AA38" s="133">
        <f>VLOOKUP(W38,Rates!$C$4:$L$182,9,FALSE)</f>
        <v>160</v>
      </c>
      <c r="AB38" s="134">
        <f>VLOOKUP(W38,Rates!$C$4:$L$182,10,FALSE)</f>
        <v>0</v>
      </c>
    </row>
    <row r="39" spans="2:28" x14ac:dyDescent="0.3">
      <c r="B39" s="135" t="str">
        <f>Rates!C35</f>
        <v>Turkey</v>
      </c>
      <c r="C39" s="135" t="str">
        <f>Rates!D35</f>
        <v>Programme Countries</v>
      </c>
      <c r="D39" s="99">
        <f>Rates!E35</f>
        <v>88</v>
      </c>
      <c r="E39" s="99">
        <f>Rates!F35</f>
        <v>74</v>
      </c>
      <c r="F39" s="99">
        <f>Rates!G35</f>
        <v>55</v>
      </c>
      <c r="G39" s="99">
        <f>Rates!H35</f>
        <v>39</v>
      </c>
      <c r="L39" s="13">
        <v>32</v>
      </c>
      <c r="M39" s="100">
        <f t="shared" si="2"/>
        <v>1490</v>
      </c>
      <c r="N39" s="121">
        <f t="shared" si="3"/>
        <v>2940</v>
      </c>
      <c r="W39" s="131" t="str">
        <f>Rates!N35</f>
        <v>Turkey</v>
      </c>
      <c r="X39" s="131" t="str">
        <f>VLOOKUP(W39,Rates!$C$4:$L$182,2,FALSE)</f>
        <v>Programme Countries</v>
      </c>
      <c r="Y39" s="132">
        <f>VLOOKUP(W39,Rates!$C$4:$L$182,7,FALSE)</f>
        <v>800</v>
      </c>
      <c r="Z39" s="132">
        <f>VLOOKUP(W39,Rates!$C$4:$L$182,8,FALSE)</f>
        <v>0</v>
      </c>
      <c r="AA39" s="133">
        <f>VLOOKUP(W39,Rates!$C$4:$L$182,9,FALSE)</f>
        <v>140</v>
      </c>
      <c r="AB39" s="134">
        <f>VLOOKUP(W39,Rates!$C$4:$L$182,10,FALSE)</f>
        <v>0</v>
      </c>
    </row>
    <row r="40" spans="2:28" x14ac:dyDescent="0.3">
      <c r="B40" s="135" t="str">
        <f>Rates!C36</f>
        <v>United Kingdom</v>
      </c>
      <c r="C40" s="135" t="str">
        <f>Rates!D36</f>
        <v>Programme Countries</v>
      </c>
      <c r="D40" s="99">
        <f>Rates!E36</f>
        <v>280</v>
      </c>
      <c r="E40" s="99">
        <f>Rates!F36</f>
        <v>214</v>
      </c>
      <c r="F40" s="99">
        <f>Rates!G36</f>
        <v>162</v>
      </c>
      <c r="G40" s="99">
        <f>Rates!H36</f>
        <v>131</v>
      </c>
      <c r="L40" s="13">
        <v>33</v>
      </c>
      <c r="M40" s="100">
        <f t="shared" si="2"/>
        <v>1530</v>
      </c>
      <c r="N40" s="121">
        <f t="shared" si="3"/>
        <v>3010</v>
      </c>
      <c r="W40" s="131" t="str">
        <f>Rates!N36</f>
        <v>United Kingdom</v>
      </c>
      <c r="X40" s="131" t="str">
        <f>VLOOKUP(W40,Rates!$C$4:$L$182,2,FALSE)</f>
        <v>Programme Countries</v>
      </c>
      <c r="Y40" s="132">
        <f>VLOOKUP(W40,Rates!$C$4:$L$182,7,FALSE)</f>
        <v>850</v>
      </c>
      <c r="Z40" s="132">
        <f>VLOOKUP(W40,Rates!$C$4:$L$182,8,FALSE)</f>
        <v>0</v>
      </c>
      <c r="AA40" s="133">
        <f>VLOOKUP(W40,Rates!$C$4:$L$182,9,FALSE)</f>
        <v>160</v>
      </c>
      <c r="AB40" s="134">
        <f>VLOOKUP(W40,Rates!$C$4:$L$182,10,FALSE)</f>
        <v>0</v>
      </c>
    </row>
    <row r="41" spans="2:28" x14ac:dyDescent="0.3">
      <c r="B41" s="98" t="str">
        <f>Rates!C37</f>
        <v>Afghanistan</v>
      </c>
      <c r="C41" s="98" t="str">
        <f>Rates!D37</f>
        <v>Partner Countries</v>
      </c>
      <c r="D41" s="136">
        <f>Rates!E37</f>
        <v>77</v>
      </c>
      <c r="E41" s="136">
        <f>Rates!F37</f>
        <v>57</v>
      </c>
      <c r="F41" s="136">
        <f>Rates!G37</f>
        <v>40</v>
      </c>
      <c r="G41" s="136">
        <f>Rates!H37</f>
        <v>32</v>
      </c>
      <c r="L41" s="13">
        <v>34</v>
      </c>
      <c r="M41" s="100">
        <f t="shared" si="2"/>
        <v>1570</v>
      </c>
      <c r="N41" s="121">
        <f t="shared" si="3"/>
        <v>3080</v>
      </c>
      <c r="W41" s="127" t="str">
        <f>Rates!N37</f>
        <v>Albania</v>
      </c>
      <c r="X41" s="127" t="str">
        <f>VLOOKUP(W41,Rates!$C$4:$L$182,2,FALSE)</f>
        <v>Partner Countries</v>
      </c>
      <c r="Y41" s="128">
        <f>VLOOKUP(W41,Rates!$C$4:$L$182,7,FALSE)</f>
        <v>750</v>
      </c>
      <c r="Z41" s="128">
        <f>VLOOKUP(W41,Rates!$C$4:$L$182,8,FALSE)</f>
        <v>650</v>
      </c>
      <c r="AA41" s="129">
        <f>VLOOKUP(W41,Rates!$C$4:$L$182,9,FALSE)</f>
        <v>100</v>
      </c>
      <c r="AB41" s="130">
        <f>VLOOKUP(W41,Rates!$C$4:$L$182,10,FALSE)</f>
        <v>160</v>
      </c>
    </row>
    <row r="42" spans="2:28" x14ac:dyDescent="0.3">
      <c r="B42" s="98" t="str">
        <f>Rates!C38</f>
        <v>Albania</v>
      </c>
      <c r="C42" s="98" t="str">
        <f>Rates!D38</f>
        <v>Partner Countries</v>
      </c>
      <c r="D42" s="136">
        <f>Rates!E38</f>
        <v>108</v>
      </c>
      <c r="E42" s="136">
        <f>Rates!F38</f>
        <v>80</v>
      </c>
      <c r="F42" s="136">
        <f>Rates!G38</f>
        <v>57</v>
      </c>
      <c r="G42" s="136">
        <f>Rates!H38</f>
        <v>45</v>
      </c>
      <c r="L42" s="13">
        <v>35</v>
      </c>
      <c r="M42" s="100">
        <f t="shared" si="2"/>
        <v>1610</v>
      </c>
      <c r="N42" s="121">
        <f t="shared" si="3"/>
        <v>3150</v>
      </c>
      <c r="W42" s="127" t="str">
        <f>Rates!N38</f>
        <v>Algeria</v>
      </c>
      <c r="X42" s="127" t="str">
        <f>VLOOKUP(W42,Rates!$C$4:$L$182,2,FALSE)</f>
        <v>Partner Countries</v>
      </c>
      <c r="Y42" s="128">
        <f>VLOOKUP(W42,Rates!$C$4:$L$182,7,FALSE)</f>
        <v>750</v>
      </c>
      <c r="Z42" s="128">
        <f>VLOOKUP(W42,Rates!$C$4:$L$182,8,FALSE)</f>
        <v>650</v>
      </c>
      <c r="AA42" s="129">
        <f>VLOOKUP(W42,Rates!$C$4:$L$182,9,FALSE)</f>
        <v>100</v>
      </c>
      <c r="AB42" s="130">
        <f>VLOOKUP(W42,Rates!$C$4:$L$182,10,FALSE)</f>
        <v>160</v>
      </c>
    </row>
    <row r="43" spans="2:28" x14ac:dyDescent="0.3">
      <c r="B43" s="98" t="str">
        <f>Rates!C39</f>
        <v>Algeria</v>
      </c>
      <c r="C43" s="98" t="str">
        <f>Rates!D39</f>
        <v>Partner Countries</v>
      </c>
      <c r="D43" s="136">
        <f>Rates!E39</f>
        <v>47</v>
      </c>
      <c r="E43" s="136">
        <f>Rates!F39</f>
        <v>33</v>
      </c>
      <c r="F43" s="136">
        <f>Rates!G39</f>
        <v>22</v>
      </c>
      <c r="G43" s="136">
        <f>Rates!H39</f>
        <v>17</v>
      </c>
      <c r="L43" s="13">
        <v>36</v>
      </c>
      <c r="M43" s="100">
        <f t="shared" si="2"/>
        <v>1650</v>
      </c>
      <c r="N43" s="121">
        <f t="shared" si="3"/>
        <v>3220</v>
      </c>
      <c r="W43" s="127" t="str">
        <f>Rates!N39</f>
        <v>Armenia</v>
      </c>
      <c r="X43" s="127" t="str">
        <f>VLOOKUP(W43,Rates!$C$4:$L$182,2,FALSE)</f>
        <v>Partner Countries</v>
      </c>
      <c r="Y43" s="128">
        <f>VLOOKUP(W43,Rates!$C$4:$L$182,7,FALSE)</f>
        <v>750</v>
      </c>
      <c r="Z43" s="128">
        <f>VLOOKUP(W43,Rates!$C$4:$L$182,8,FALSE)</f>
        <v>650</v>
      </c>
      <c r="AA43" s="129">
        <f>VLOOKUP(W43,Rates!$C$4:$L$182,9,FALSE)</f>
        <v>100</v>
      </c>
      <c r="AB43" s="130">
        <f>VLOOKUP(W43,Rates!$C$4:$L$182,10,FALSE)</f>
        <v>160</v>
      </c>
    </row>
    <row r="44" spans="2:28" x14ac:dyDescent="0.3">
      <c r="B44" s="98" t="str">
        <f>Rates!C40</f>
        <v>Angola</v>
      </c>
      <c r="C44" s="98" t="str">
        <f>Rates!D40</f>
        <v>Partner Countries</v>
      </c>
      <c r="D44" s="136">
        <f>Rates!E40</f>
        <v>108</v>
      </c>
      <c r="E44" s="136">
        <f>Rates!F40</f>
        <v>80</v>
      </c>
      <c r="F44" s="136">
        <f>Rates!G40</f>
        <v>57</v>
      </c>
      <c r="G44" s="136">
        <f>Rates!H40</f>
        <v>45</v>
      </c>
      <c r="L44" s="13">
        <v>37</v>
      </c>
      <c r="M44" s="100">
        <f t="shared" si="2"/>
        <v>1690</v>
      </c>
      <c r="N44" s="121">
        <f t="shared" si="3"/>
        <v>3290</v>
      </c>
      <c r="W44" s="127" t="str">
        <f>Rates!N40</f>
        <v>Azerbaijan</v>
      </c>
      <c r="X44" s="127" t="str">
        <f>VLOOKUP(W44,Rates!$C$4:$L$182,2,FALSE)</f>
        <v>Partner Countries</v>
      </c>
      <c r="Y44" s="128">
        <f>VLOOKUP(W44,Rates!$C$4:$L$182,7,FALSE)</f>
        <v>750</v>
      </c>
      <c r="Z44" s="128">
        <f>VLOOKUP(W44,Rates!$C$4:$L$182,8,FALSE)</f>
        <v>650</v>
      </c>
      <c r="AA44" s="129">
        <f>VLOOKUP(W44,Rates!$C$4:$L$182,9,FALSE)</f>
        <v>100</v>
      </c>
      <c r="AB44" s="130">
        <f>VLOOKUP(W44,Rates!$C$4:$L$182,10,FALSE)</f>
        <v>160</v>
      </c>
    </row>
    <row r="45" spans="2:28" x14ac:dyDescent="0.3">
      <c r="B45" s="98" t="str">
        <f>Rates!C41</f>
        <v>Antigua and Barbuda</v>
      </c>
      <c r="C45" s="98" t="str">
        <f>Rates!D41</f>
        <v>Partner Countries</v>
      </c>
      <c r="D45" s="136">
        <f>Rates!E41</f>
        <v>108</v>
      </c>
      <c r="E45" s="136">
        <f>Rates!F41</f>
        <v>80</v>
      </c>
      <c r="F45" s="136">
        <f>Rates!G41</f>
        <v>57</v>
      </c>
      <c r="G45" s="136">
        <f>Rates!H41</f>
        <v>45</v>
      </c>
      <c r="L45" s="13">
        <v>38</v>
      </c>
      <c r="M45" s="100">
        <f t="shared" si="2"/>
        <v>1730</v>
      </c>
      <c r="N45" s="121">
        <f t="shared" si="3"/>
        <v>3360</v>
      </c>
      <c r="W45" s="127" t="str">
        <f>Rates!N41</f>
        <v>Belarus</v>
      </c>
      <c r="X45" s="127" t="str">
        <f>VLOOKUP(W45,Rates!$C$4:$L$182,2,FALSE)</f>
        <v>Partner Countries</v>
      </c>
      <c r="Y45" s="128">
        <f>VLOOKUP(W45,Rates!$C$4:$L$182,7,FALSE)</f>
        <v>750</v>
      </c>
      <c r="Z45" s="128">
        <f>VLOOKUP(W45,Rates!$C$4:$L$182,8,FALSE)</f>
        <v>650</v>
      </c>
      <c r="AA45" s="129">
        <f>VLOOKUP(W45,Rates!$C$4:$L$182,9,FALSE)</f>
        <v>100</v>
      </c>
      <c r="AB45" s="130">
        <f>VLOOKUP(W45,Rates!$C$4:$L$182,10,FALSE)</f>
        <v>160</v>
      </c>
    </row>
    <row r="46" spans="2:28" x14ac:dyDescent="0.3">
      <c r="B46" s="98" t="str">
        <f>Rates!C42</f>
        <v>Argentina</v>
      </c>
      <c r="C46" s="98" t="str">
        <f>Rates!D42</f>
        <v>Partner Countries</v>
      </c>
      <c r="D46" s="136">
        <f>Rates!E42</f>
        <v>108</v>
      </c>
      <c r="E46" s="136">
        <f>Rates!F42</f>
        <v>80</v>
      </c>
      <c r="F46" s="136">
        <f>Rates!G42</f>
        <v>57</v>
      </c>
      <c r="G46" s="136">
        <f>Rates!H42</f>
        <v>45</v>
      </c>
      <c r="L46" s="13">
        <v>39</v>
      </c>
      <c r="M46" s="100">
        <f t="shared" si="2"/>
        <v>1770</v>
      </c>
      <c r="N46" s="121">
        <f t="shared" si="3"/>
        <v>3430</v>
      </c>
      <c r="W46" s="127" t="str">
        <f>Rates!N42</f>
        <v>Bosnia and Herzegovina</v>
      </c>
      <c r="X46" s="127" t="str">
        <f>VLOOKUP(W46,Rates!$C$4:$L$182,2,FALSE)</f>
        <v>Partner Countries</v>
      </c>
      <c r="Y46" s="128">
        <f>VLOOKUP(W46,Rates!$C$4:$L$182,7,FALSE)</f>
        <v>750</v>
      </c>
      <c r="Z46" s="128">
        <f>VLOOKUP(W46,Rates!$C$4:$L$182,8,FALSE)</f>
        <v>650</v>
      </c>
      <c r="AA46" s="129">
        <f>VLOOKUP(W46,Rates!$C$4:$L$182,9,FALSE)</f>
        <v>100</v>
      </c>
      <c r="AB46" s="130">
        <f>VLOOKUP(W46,Rates!$C$4:$L$182,10,FALSE)</f>
        <v>160</v>
      </c>
    </row>
    <row r="47" spans="2:28" x14ac:dyDescent="0.3">
      <c r="B47" s="98" t="str">
        <f>Rates!C43</f>
        <v>Armenia</v>
      </c>
      <c r="C47" s="98" t="str">
        <f>Rates!D43</f>
        <v>Partner Countries</v>
      </c>
      <c r="D47" s="136">
        <f>Rates!E43</f>
        <v>47</v>
      </c>
      <c r="E47" s="136">
        <f>Rates!F43</f>
        <v>33</v>
      </c>
      <c r="F47" s="136">
        <f>Rates!G43</f>
        <v>22</v>
      </c>
      <c r="G47" s="136">
        <f>Rates!H43</f>
        <v>17</v>
      </c>
      <c r="L47" s="13">
        <v>40</v>
      </c>
      <c r="M47" s="100">
        <f t="shared" si="2"/>
        <v>1810</v>
      </c>
      <c r="N47" s="121">
        <f t="shared" si="3"/>
        <v>3500</v>
      </c>
      <c r="W47" s="127" t="str">
        <f>Rates!N43</f>
        <v>Egypt</v>
      </c>
      <c r="X47" s="127" t="str">
        <f>VLOOKUP(W47,Rates!$C$4:$L$182,2,FALSE)</f>
        <v>Partner Countries</v>
      </c>
      <c r="Y47" s="128">
        <f>VLOOKUP(W47,Rates!$C$4:$L$182,7,FALSE)</f>
        <v>750</v>
      </c>
      <c r="Z47" s="128">
        <f>VLOOKUP(W47,Rates!$C$4:$L$182,8,FALSE)</f>
        <v>650</v>
      </c>
      <c r="AA47" s="129">
        <f>VLOOKUP(W47,Rates!$C$4:$L$182,9,FALSE)</f>
        <v>100</v>
      </c>
      <c r="AB47" s="130">
        <f>VLOOKUP(W47,Rates!$C$4:$L$182,10,FALSE)</f>
        <v>160</v>
      </c>
    </row>
    <row r="48" spans="2:28" x14ac:dyDescent="0.3">
      <c r="B48" s="98" t="str">
        <f>Rates!C44</f>
        <v>Azerbaijan</v>
      </c>
      <c r="C48" s="98" t="str">
        <f>Rates!D44</f>
        <v>Partner Countries</v>
      </c>
      <c r="D48" s="136">
        <f>Rates!E44</f>
        <v>77</v>
      </c>
      <c r="E48" s="136">
        <f>Rates!F44</f>
        <v>57</v>
      </c>
      <c r="F48" s="136">
        <f>Rates!G44</f>
        <v>40</v>
      </c>
      <c r="G48" s="136">
        <f>Rates!H44</f>
        <v>32</v>
      </c>
      <c r="L48" s="13">
        <v>41</v>
      </c>
      <c r="M48" s="100">
        <f t="shared" si="2"/>
        <v>1850</v>
      </c>
      <c r="N48" s="121">
        <f t="shared" si="3"/>
        <v>3570</v>
      </c>
      <c r="W48" s="127" t="str">
        <f>Rates!N44</f>
        <v>Georgia</v>
      </c>
      <c r="X48" s="127" t="str">
        <f>VLOOKUP(W48,Rates!$C$4:$L$182,2,FALSE)</f>
        <v>Partner Countries</v>
      </c>
      <c r="Y48" s="128">
        <f>VLOOKUP(W48,Rates!$C$4:$L$182,7,FALSE)</f>
        <v>750</v>
      </c>
      <c r="Z48" s="128">
        <f>VLOOKUP(W48,Rates!$C$4:$L$182,8,FALSE)</f>
        <v>650</v>
      </c>
      <c r="AA48" s="129">
        <f>VLOOKUP(W48,Rates!$C$4:$L$182,9,FALSE)</f>
        <v>100</v>
      </c>
      <c r="AB48" s="130">
        <f>VLOOKUP(W48,Rates!$C$4:$L$182,10,FALSE)</f>
        <v>160</v>
      </c>
    </row>
    <row r="49" spans="2:28" x14ac:dyDescent="0.3">
      <c r="B49" s="98" t="str">
        <f>Rates!C45</f>
        <v>Bahamas</v>
      </c>
      <c r="C49" s="98" t="str">
        <f>Rates!D45</f>
        <v>Partner Countries</v>
      </c>
      <c r="D49" s="136">
        <f>Rates!E45</f>
        <v>77</v>
      </c>
      <c r="E49" s="136">
        <f>Rates!F45</f>
        <v>57</v>
      </c>
      <c r="F49" s="136">
        <f>Rates!G45</f>
        <v>40</v>
      </c>
      <c r="G49" s="136">
        <f>Rates!H45</f>
        <v>32</v>
      </c>
      <c r="L49" s="13">
        <v>42</v>
      </c>
      <c r="M49" s="100">
        <f t="shared" si="2"/>
        <v>1890</v>
      </c>
      <c r="N49" s="121">
        <f t="shared" si="3"/>
        <v>3640</v>
      </c>
      <c r="W49" s="127" t="str">
        <f>Rates!N45</f>
        <v>Israel</v>
      </c>
      <c r="X49" s="127" t="str">
        <f>VLOOKUP(W49,Rates!$C$4:$L$182,2,FALSE)</f>
        <v>Partner Countries</v>
      </c>
      <c r="Y49" s="128">
        <f>VLOOKUP(W49,Rates!$C$4:$L$182,7,FALSE)</f>
        <v>750</v>
      </c>
      <c r="Z49" s="128">
        <f>VLOOKUP(W49,Rates!$C$4:$L$182,8,FALSE)</f>
        <v>650</v>
      </c>
      <c r="AA49" s="129">
        <f>VLOOKUP(W49,Rates!$C$4:$L$182,9,FALSE)</f>
        <v>100</v>
      </c>
      <c r="AB49" s="130">
        <f>VLOOKUP(W49,Rates!$C$4:$L$182,10,FALSE)</f>
        <v>160</v>
      </c>
    </row>
    <row r="50" spans="2:28" x14ac:dyDescent="0.3">
      <c r="B50" s="98" t="str">
        <f>Rates!C46</f>
        <v>Bangladesh</v>
      </c>
      <c r="C50" s="98" t="str">
        <f>Rates!D46</f>
        <v>Partner Countries</v>
      </c>
      <c r="D50" s="136">
        <f>Rates!E46</f>
        <v>47</v>
      </c>
      <c r="E50" s="136">
        <f>Rates!F46</f>
        <v>33</v>
      </c>
      <c r="F50" s="136">
        <f>Rates!G46</f>
        <v>22</v>
      </c>
      <c r="G50" s="136">
        <f>Rates!H46</f>
        <v>17</v>
      </c>
      <c r="L50" s="13">
        <v>43</v>
      </c>
      <c r="M50" s="100">
        <f t="shared" si="2"/>
        <v>1930</v>
      </c>
      <c r="N50" s="121">
        <f t="shared" si="3"/>
        <v>3710</v>
      </c>
      <c r="W50" s="127" t="str">
        <f>Rates!N46</f>
        <v>Jordan</v>
      </c>
      <c r="X50" s="127" t="str">
        <f>VLOOKUP(W50,Rates!$C$4:$L$182,2,FALSE)</f>
        <v>Partner Countries</v>
      </c>
      <c r="Y50" s="128">
        <f>VLOOKUP(W50,Rates!$C$4:$L$182,7,FALSE)</f>
        <v>750</v>
      </c>
      <c r="Z50" s="128">
        <f>VLOOKUP(W50,Rates!$C$4:$L$182,8,FALSE)</f>
        <v>650</v>
      </c>
      <c r="AA50" s="129">
        <f>VLOOKUP(W50,Rates!$C$4:$L$182,9,FALSE)</f>
        <v>100</v>
      </c>
      <c r="AB50" s="130">
        <f>VLOOKUP(W50,Rates!$C$4:$L$182,10,FALSE)</f>
        <v>160</v>
      </c>
    </row>
    <row r="51" spans="2:28" x14ac:dyDescent="0.3">
      <c r="B51" s="98" t="str">
        <f>Rates!C47</f>
        <v>Barbados</v>
      </c>
      <c r="C51" s="98" t="str">
        <f>Rates!D47</f>
        <v>Partner Countries</v>
      </c>
      <c r="D51" s="136">
        <f>Rates!E47</f>
        <v>108</v>
      </c>
      <c r="E51" s="136">
        <f>Rates!F47</f>
        <v>80</v>
      </c>
      <c r="F51" s="136">
        <f>Rates!G47</f>
        <v>57</v>
      </c>
      <c r="G51" s="136">
        <f>Rates!H47</f>
        <v>45</v>
      </c>
      <c r="L51" s="13">
        <v>44</v>
      </c>
      <c r="M51" s="100">
        <f t="shared" si="2"/>
        <v>1970</v>
      </c>
      <c r="N51" s="121">
        <f t="shared" si="3"/>
        <v>3780</v>
      </c>
      <c r="W51" s="127" t="str">
        <f>Rates!N47</f>
        <v>Kosovo</v>
      </c>
      <c r="X51" s="127" t="str">
        <f>VLOOKUP(W51,Rates!$C$4:$L$182,2,FALSE)</f>
        <v>Partner Countries</v>
      </c>
      <c r="Y51" s="128">
        <f>VLOOKUP(W51,Rates!$C$4:$L$182,7,FALSE)</f>
        <v>750</v>
      </c>
      <c r="Z51" s="128">
        <f>VLOOKUP(W51,Rates!$C$4:$L$182,8,FALSE)</f>
        <v>650</v>
      </c>
      <c r="AA51" s="129">
        <f>VLOOKUP(W51,Rates!$C$4:$L$182,9,FALSE)</f>
        <v>100</v>
      </c>
      <c r="AB51" s="130">
        <f>VLOOKUP(W51,Rates!$C$4:$L$182,10,FALSE)</f>
        <v>160</v>
      </c>
    </row>
    <row r="52" spans="2:28" x14ac:dyDescent="0.3">
      <c r="B52" s="98" t="str">
        <f>Rates!C48</f>
        <v>Belarus</v>
      </c>
      <c r="C52" s="98" t="str">
        <f>Rates!D48</f>
        <v>Partner Countries</v>
      </c>
      <c r="D52" s="136">
        <f>Rates!E48</f>
        <v>47</v>
      </c>
      <c r="E52" s="136">
        <f>Rates!F48</f>
        <v>33</v>
      </c>
      <c r="F52" s="136">
        <f>Rates!G48</f>
        <v>22</v>
      </c>
      <c r="G52" s="136">
        <f>Rates!H48</f>
        <v>17</v>
      </c>
      <c r="L52" s="13">
        <v>45</v>
      </c>
      <c r="M52" s="100">
        <f t="shared" si="2"/>
        <v>2010</v>
      </c>
      <c r="N52" s="121">
        <f t="shared" si="3"/>
        <v>3850</v>
      </c>
      <c r="W52" s="127" t="str">
        <f>Rates!N48</f>
        <v>Lebanon</v>
      </c>
      <c r="X52" s="127" t="str">
        <f>VLOOKUP(W52,Rates!$C$4:$L$182,2,FALSE)</f>
        <v>Partner Countries</v>
      </c>
      <c r="Y52" s="128">
        <f>VLOOKUP(W52,Rates!$C$4:$L$182,7,FALSE)</f>
        <v>750</v>
      </c>
      <c r="Z52" s="128">
        <f>VLOOKUP(W52,Rates!$C$4:$L$182,8,FALSE)</f>
        <v>650</v>
      </c>
      <c r="AA52" s="129">
        <f>VLOOKUP(W52,Rates!$C$4:$L$182,9,FALSE)</f>
        <v>100</v>
      </c>
      <c r="AB52" s="130">
        <f>VLOOKUP(W52,Rates!$C$4:$L$182,10,FALSE)</f>
        <v>160</v>
      </c>
    </row>
    <row r="53" spans="2:28" x14ac:dyDescent="0.3">
      <c r="B53" s="98" t="str">
        <f>Rates!C49</f>
        <v>Belize</v>
      </c>
      <c r="C53" s="98" t="str">
        <f>Rates!D49</f>
        <v>Partner Countries</v>
      </c>
      <c r="D53" s="136">
        <f>Rates!E49</f>
        <v>47</v>
      </c>
      <c r="E53" s="136">
        <f>Rates!F49</f>
        <v>33</v>
      </c>
      <c r="F53" s="136">
        <f>Rates!G49</f>
        <v>22</v>
      </c>
      <c r="G53" s="136">
        <f>Rates!H49</f>
        <v>17</v>
      </c>
      <c r="L53" s="13">
        <v>46</v>
      </c>
      <c r="M53" s="100">
        <f t="shared" si="2"/>
        <v>2050</v>
      </c>
      <c r="N53" s="121">
        <f t="shared" si="3"/>
        <v>3920</v>
      </c>
      <c r="W53" s="127" t="str">
        <f>Rates!N49</f>
        <v>Libya</v>
      </c>
      <c r="X53" s="127" t="str">
        <f>VLOOKUP(W53,Rates!$C$4:$L$182,2,FALSE)</f>
        <v>Partner Countries</v>
      </c>
      <c r="Y53" s="128">
        <f>VLOOKUP(W53,Rates!$C$4:$L$182,7,FALSE)</f>
        <v>750</v>
      </c>
      <c r="Z53" s="128">
        <f>VLOOKUP(W53,Rates!$C$4:$L$182,8,FALSE)</f>
        <v>650</v>
      </c>
      <c r="AA53" s="129">
        <f>VLOOKUP(W53,Rates!$C$4:$L$182,9,FALSE)</f>
        <v>100</v>
      </c>
      <c r="AB53" s="130">
        <f>VLOOKUP(W53,Rates!$C$4:$L$182,10,FALSE)</f>
        <v>160</v>
      </c>
    </row>
    <row r="54" spans="2:28" x14ac:dyDescent="0.3">
      <c r="B54" s="98" t="str">
        <f>Rates!C50</f>
        <v>Benin</v>
      </c>
      <c r="C54" s="98" t="str">
        <f>Rates!D50</f>
        <v>Partner Countries</v>
      </c>
      <c r="D54" s="136">
        <f>Rates!E50</f>
        <v>47</v>
      </c>
      <c r="E54" s="136">
        <f>Rates!F50</f>
        <v>33</v>
      </c>
      <c r="F54" s="136">
        <f>Rates!G50</f>
        <v>22</v>
      </c>
      <c r="G54" s="136">
        <f>Rates!H50</f>
        <v>17</v>
      </c>
      <c r="L54" s="13">
        <v>47</v>
      </c>
      <c r="M54" s="100">
        <f t="shared" si="2"/>
        <v>2090</v>
      </c>
      <c r="N54" s="121">
        <f t="shared" si="3"/>
        <v>3990</v>
      </c>
      <c r="W54" s="127" t="str">
        <f>Rates!N50</f>
        <v>Moldova</v>
      </c>
      <c r="X54" s="127" t="str">
        <f>VLOOKUP(W54,Rates!$C$4:$L$182,2,FALSE)</f>
        <v>Partner Countries</v>
      </c>
      <c r="Y54" s="128">
        <f>VLOOKUP(W54,Rates!$C$4:$L$182,7,FALSE)</f>
        <v>750</v>
      </c>
      <c r="Z54" s="128">
        <f>VLOOKUP(W54,Rates!$C$4:$L$182,8,FALSE)</f>
        <v>650</v>
      </c>
      <c r="AA54" s="129">
        <f>VLOOKUP(W54,Rates!$C$4:$L$182,9,FALSE)</f>
        <v>100</v>
      </c>
      <c r="AB54" s="130">
        <f>VLOOKUP(W54,Rates!$C$4:$L$182,10,FALSE)</f>
        <v>160</v>
      </c>
    </row>
    <row r="55" spans="2:28" x14ac:dyDescent="0.3">
      <c r="B55" s="98" t="str">
        <f>Rates!C51</f>
        <v>Bhutan</v>
      </c>
      <c r="C55" s="98" t="str">
        <f>Rates!D51</f>
        <v>Partner Countries</v>
      </c>
      <c r="D55" s="136">
        <f>Rates!E51</f>
        <v>47</v>
      </c>
      <c r="E55" s="136">
        <f>Rates!F51</f>
        <v>33</v>
      </c>
      <c r="F55" s="136">
        <f>Rates!G51</f>
        <v>22</v>
      </c>
      <c r="G55" s="136">
        <f>Rates!H51</f>
        <v>17</v>
      </c>
      <c r="L55" s="13">
        <v>48</v>
      </c>
      <c r="M55" s="100">
        <f t="shared" si="2"/>
        <v>2130</v>
      </c>
      <c r="N55" s="121">
        <f t="shared" si="3"/>
        <v>4060</v>
      </c>
      <c r="W55" s="127" t="str">
        <f>Rates!N51</f>
        <v>Montenegro</v>
      </c>
      <c r="X55" s="127" t="str">
        <f>VLOOKUP(W55,Rates!$C$4:$L$182,2,FALSE)</f>
        <v>Partner Countries</v>
      </c>
      <c r="Y55" s="128">
        <f>VLOOKUP(W55,Rates!$C$4:$L$182,7,FALSE)</f>
        <v>750</v>
      </c>
      <c r="Z55" s="128">
        <f>VLOOKUP(W55,Rates!$C$4:$L$182,8,FALSE)</f>
        <v>650</v>
      </c>
      <c r="AA55" s="129">
        <f>VLOOKUP(W55,Rates!$C$4:$L$182,9,FALSE)</f>
        <v>100</v>
      </c>
      <c r="AB55" s="130">
        <f>VLOOKUP(W55,Rates!$C$4:$L$182,10,FALSE)</f>
        <v>160</v>
      </c>
    </row>
    <row r="56" spans="2:28" x14ac:dyDescent="0.3">
      <c r="B56" s="98" t="str">
        <f>Rates!C52</f>
        <v>Bolivia</v>
      </c>
      <c r="C56" s="98" t="str">
        <f>Rates!D52</f>
        <v>Partner Countries</v>
      </c>
      <c r="D56" s="136">
        <f>Rates!E52</f>
        <v>77</v>
      </c>
      <c r="E56" s="136">
        <f>Rates!F52</f>
        <v>57</v>
      </c>
      <c r="F56" s="136">
        <f>Rates!G52</f>
        <v>40</v>
      </c>
      <c r="G56" s="136">
        <f>Rates!H52</f>
        <v>32</v>
      </c>
      <c r="L56" s="13">
        <v>49</v>
      </c>
      <c r="M56" s="100">
        <f t="shared" si="2"/>
        <v>2170</v>
      </c>
      <c r="N56" s="121">
        <f t="shared" si="3"/>
        <v>4130</v>
      </c>
      <c r="W56" s="127" t="str">
        <f>Rates!N52</f>
        <v>Morocco</v>
      </c>
      <c r="X56" s="127" t="str">
        <f>VLOOKUP(W56,Rates!$C$4:$L$182,2,FALSE)</f>
        <v>Partner Countries</v>
      </c>
      <c r="Y56" s="128">
        <f>VLOOKUP(W56,Rates!$C$4:$L$182,7,FALSE)</f>
        <v>750</v>
      </c>
      <c r="Z56" s="128">
        <f>VLOOKUP(W56,Rates!$C$4:$L$182,8,FALSE)</f>
        <v>650</v>
      </c>
      <c r="AA56" s="129">
        <f>VLOOKUP(W56,Rates!$C$4:$L$182,9,FALSE)</f>
        <v>100</v>
      </c>
      <c r="AB56" s="130">
        <f>VLOOKUP(W56,Rates!$C$4:$L$182,10,FALSE)</f>
        <v>160</v>
      </c>
    </row>
    <row r="57" spans="2:28" x14ac:dyDescent="0.3">
      <c r="B57" s="98" t="str">
        <f>Rates!C53</f>
        <v>Bosnia and Herzegovina</v>
      </c>
      <c r="C57" s="98" t="str">
        <f>Rates!D53</f>
        <v>Partner Countries</v>
      </c>
      <c r="D57" s="136">
        <f>Rates!E53</f>
        <v>108</v>
      </c>
      <c r="E57" s="136">
        <f>Rates!F53</f>
        <v>80</v>
      </c>
      <c r="F57" s="136">
        <f>Rates!G53</f>
        <v>57</v>
      </c>
      <c r="G57" s="136">
        <f>Rates!H53</f>
        <v>45</v>
      </c>
      <c r="L57" s="13">
        <v>50</v>
      </c>
      <c r="M57" s="100">
        <f t="shared" si="2"/>
        <v>2210</v>
      </c>
      <c r="N57" s="121">
        <f t="shared" si="3"/>
        <v>4200</v>
      </c>
      <c r="W57" s="127" t="str">
        <f>Rates!N53</f>
        <v>Palestine</v>
      </c>
      <c r="X57" s="127" t="str">
        <f>VLOOKUP(W57,Rates!$C$4:$L$182,2,FALSE)</f>
        <v>Partner Countries</v>
      </c>
      <c r="Y57" s="128">
        <f>VLOOKUP(W57,Rates!$C$4:$L$182,7,FALSE)</f>
        <v>750</v>
      </c>
      <c r="Z57" s="128">
        <f>VLOOKUP(W57,Rates!$C$4:$L$182,8,FALSE)</f>
        <v>650</v>
      </c>
      <c r="AA57" s="129">
        <f>VLOOKUP(W57,Rates!$C$4:$L$182,9,FALSE)</f>
        <v>100</v>
      </c>
      <c r="AB57" s="130">
        <f>VLOOKUP(W57,Rates!$C$4:$L$182,10,FALSE)</f>
        <v>160</v>
      </c>
    </row>
    <row r="58" spans="2:28" x14ac:dyDescent="0.3">
      <c r="B58" s="98" t="str">
        <f>Rates!C54</f>
        <v>Botswana</v>
      </c>
      <c r="C58" s="98" t="str">
        <f>Rates!D54</f>
        <v>Partner Countries</v>
      </c>
      <c r="D58" s="136">
        <f>Rates!E54</f>
        <v>47</v>
      </c>
      <c r="E58" s="136">
        <f>Rates!F54</f>
        <v>33</v>
      </c>
      <c r="F58" s="136">
        <f>Rates!G54</f>
        <v>22</v>
      </c>
      <c r="G58" s="136">
        <f>Rates!H54</f>
        <v>17</v>
      </c>
      <c r="L58" s="13">
        <v>51</v>
      </c>
      <c r="M58" s="100">
        <f t="shared" si="2"/>
        <v>2250</v>
      </c>
      <c r="N58" s="121">
        <f t="shared" si="3"/>
        <v>4270</v>
      </c>
      <c r="W58" s="127" t="str">
        <f>Rates!N54</f>
        <v>Serbia</v>
      </c>
      <c r="X58" s="127" t="str">
        <f>VLOOKUP(W58,Rates!$C$4:$L$182,2,FALSE)</f>
        <v>Partner Countries</v>
      </c>
      <c r="Y58" s="128">
        <f>VLOOKUP(W58,Rates!$C$4:$L$182,7,FALSE)</f>
        <v>750</v>
      </c>
      <c r="Z58" s="128">
        <f>VLOOKUP(W58,Rates!$C$4:$L$182,8,FALSE)</f>
        <v>650</v>
      </c>
      <c r="AA58" s="129">
        <f>VLOOKUP(W58,Rates!$C$4:$L$182,9,FALSE)</f>
        <v>100</v>
      </c>
      <c r="AB58" s="130">
        <f>VLOOKUP(W58,Rates!$C$4:$L$182,10,FALSE)</f>
        <v>160</v>
      </c>
    </row>
    <row r="59" spans="2:28" x14ac:dyDescent="0.3">
      <c r="B59" s="98" t="str">
        <f>Rates!C55</f>
        <v>Brazil</v>
      </c>
      <c r="C59" s="98" t="str">
        <f>Rates!D55</f>
        <v>Partner Countries</v>
      </c>
      <c r="D59" s="136">
        <f>Rates!E55</f>
        <v>108</v>
      </c>
      <c r="E59" s="136">
        <f>Rates!F55</f>
        <v>80</v>
      </c>
      <c r="F59" s="136">
        <f>Rates!G55</f>
        <v>57</v>
      </c>
      <c r="G59" s="136">
        <f>Rates!H55</f>
        <v>45</v>
      </c>
      <c r="L59" s="13">
        <v>52</v>
      </c>
      <c r="M59" s="100">
        <f t="shared" si="2"/>
        <v>2290</v>
      </c>
      <c r="N59" s="121">
        <f t="shared" si="3"/>
        <v>4340</v>
      </c>
      <c r="W59" s="127" t="str">
        <f>Rates!N55</f>
        <v>Syria</v>
      </c>
      <c r="X59" s="127" t="str">
        <f>VLOOKUP(W59,Rates!$C$4:$L$182,2,FALSE)</f>
        <v>Partner Countries</v>
      </c>
      <c r="Y59" s="128">
        <f>VLOOKUP(W59,Rates!$C$4:$L$182,7,FALSE)</f>
        <v>750</v>
      </c>
      <c r="Z59" s="128">
        <f>VLOOKUP(W59,Rates!$C$4:$L$182,8,FALSE)</f>
        <v>650</v>
      </c>
      <c r="AA59" s="129">
        <f>VLOOKUP(W59,Rates!$C$4:$L$182,9,FALSE)</f>
        <v>100</v>
      </c>
      <c r="AB59" s="130">
        <f>VLOOKUP(W59,Rates!$C$4:$L$182,10,FALSE)</f>
        <v>160</v>
      </c>
    </row>
    <row r="60" spans="2:28" x14ac:dyDescent="0.3">
      <c r="B60" s="98" t="str">
        <f>Rates!C56</f>
        <v>Burkina Faso</v>
      </c>
      <c r="C60" s="98" t="str">
        <f>Rates!D56</f>
        <v>Partner Countries</v>
      </c>
      <c r="D60" s="136">
        <f>Rates!E56</f>
        <v>77</v>
      </c>
      <c r="E60" s="136">
        <f>Rates!F56</f>
        <v>57</v>
      </c>
      <c r="F60" s="136">
        <f>Rates!G56</f>
        <v>40</v>
      </c>
      <c r="G60" s="136">
        <f>Rates!H56</f>
        <v>32</v>
      </c>
      <c r="L60" s="13">
        <v>53</v>
      </c>
      <c r="M60" s="100">
        <f t="shared" si="2"/>
        <v>2330</v>
      </c>
      <c r="N60" s="121">
        <f t="shared" si="3"/>
        <v>4410</v>
      </c>
      <c r="W60" s="127" t="str">
        <f>Rates!N56</f>
        <v>Tunisia</v>
      </c>
      <c r="X60" s="127" t="str">
        <f>VLOOKUP(W60,Rates!$C$4:$L$182,2,FALSE)</f>
        <v>Partner Countries</v>
      </c>
      <c r="Y60" s="128">
        <f>VLOOKUP(W60,Rates!$C$4:$L$182,7,FALSE)</f>
        <v>750</v>
      </c>
      <c r="Z60" s="128">
        <f>VLOOKUP(W60,Rates!$C$4:$L$182,8,FALSE)</f>
        <v>650</v>
      </c>
      <c r="AA60" s="129">
        <f>VLOOKUP(W60,Rates!$C$4:$L$182,9,FALSE)</f>
        <v>100</v>
      </c>
      <c r="AB60" s="130">
        <f>VLOOKUP(W60,Rates!$C$4:$L$182,10,FALSE)</f>
        <v>160</v>
      </c>
    </row>
    <row r="61" spans="2:28" x14ac:dyDescent="0.3">
      <c r="B61" s="98" t="str">
        <f>Rates!C57</f>
        <v>Burundi</v>
      </c>
      <c r="C61" s="98" t="str">
        <f>Rates!D57</f>
        <v>Partner Countries</v>
      </c>
      <c r="D61" s="136">
        <f>Rates!E57</f>
        <v>47</v>
      </c>
      <c r="E61" s="136">
        <f>Rates!F57</f>
        <v>33</v>
      </c>
      <c r="F61" s="136">
        <f>Rates!G57</f>
        <v>22</v>
      </c>
      <c r="G61" s="136">
        <f>Rates!H57</f>
        <v>17</v>
      </c>
      <c r="L61" s="13">
        <v>54</v>
      </c>
      <c r="M61" s="100">
        <f t="shared" si="2"/>
        <v>2370</v>
      </c>
      <c r="N61" s="121">
        <f t="shared" si="3"/>
        <v>4480</v>
      </c>
      <c r="W61" s="127" t="str">
        <f>Rates!N57</f>
        <v>Ukraine</v>
      </c>
      <c r="X61" s="127" t="str">
        <f>VLOOKUP(W61,Rates!$C$4:$L$182,2,FALSE)</f>
        <v>Partner Countries</v>
      </c>
      <c r="Y61" s="128">
        <f>VLOOKUP(W61,Rates!$C$4:$L$182,7,FALSE)</f>
        <v>750</v>
      </c>
      <c r="Z61" s="128">
        <f>VLOOKUP(W61,Rates!$C$4:$L$182,8,FALSE)</f>
        <v>650</v>
      </c>
      <c r="AA61" s="129">
        <f>VLOOKUP(W61,Rates!$C$4:$L$182,9,FALSE)</f>
        <v>100</v>
      </c>
      <c r="AB61" s="130">
        <f>VLOOKUP(W61,Rates!$C$4:$L$182,10,FALSE)</f>
        <v>160</v>
      </c>
    </row>
    <row r="62" spans="2:28" x14ac:dyDescent="0.3">
      <c r="B62" s="98" t="str">
        <f>Rates!C58</f>
        <v>Cambodia</v>
      </c>
      <c r="C62" s="98" t="str">
        <f>Rates!D58</f>
        <v>Partner Countries</v>
      </c>
      <c r="D62" s="136">
        <f>Rates!E58</f>
        <v>47</v>
      </c>
      <c r="E62" s="136">
        <f>Rates!F58</f>
        <v>33</v>
      </c>
      <c r="F62" s="136">
        <f>Rates!G58</f>
        <v>22</v>
      </c>
      <c r="G62" s="136">
        <f>Rates!H58</f>
        <v>17</v>
      </c>
      <c r="L62" s="13">
        <v>55</v>
      </c>
      <c r="M62" s="100">
        <f t="shared" si="2"/>
        <v>2410</v>
      </c>
      <c r="N62" s="121">
        <f t="shared" si="3"/>
        <v>4550</v>
      </c>
    </row>
    <row r="63" spans="2:28" x14ac:dyDescent="0.3">
      <c r="B63" s="98" t="str">
        <f>Rates!C59</f>
        <v>Cameroon</v>
      </c>
      <c r="C63" s="98" t="str">
        <f>Rates!D59</f>
        <v>Partner Countries</v>
      </c>
      <c r="D63" s="136">
        <f>Rates!E59</f>
        <v>77</v>
      </c>
      <c r="E63" s="136">
        <f>Rates!F59</f>
        <v>57</v>
      </c>
      <c r="F63" s="136">
        <f>Rates!G59</f>
        <v>40</v>
      </c>
      <c r="G63" s="136">
        <f>Rates!H59</f>
        <v>32</v>
      </c>
      <c r="L63" s="13">
        <v>56</v>
      </c>
      <c r="M63" s="100">
        <f t="shared" si="2"/>
        <v>2450</v>
      </c>
      <c r="N63" s="121">
        <f t="shared" si="3"/>
        <v>4620</v>
      </c>
    </row>
    <row r="64" spans="2:28" x14ac:dyDescent="0.3">
      <c r="B64" s="98" t="str">
        <f>Rates!C60</f>
        <v>Cape Verde</v>
      </c>
      <c r="C64" s="98" t="str">
        <f>Rates!D60</f>
        <v>Partner Countries</v>
      </c>
      <c r="D64" s="136">
        <f>Rates!E60</f>
        <v>47</v>
      </c>
      <c r="E64" s="136">
        <f>Rates!F60</f>
        <v>33</v>
      </c>
      <c r="F64" s="136">
        <f>Rates!G60</f>
        <v>22</v>
      </c>
      <c r="G64" s="136">
        <f>Rates!H60</f>
        <v>17</v>
      </c>
      <c r="L64" s="13">
        <v>57</v>
      </c>
      <c r="M64" s="100">
        <f t="shared" si="2"/>
        <v>2490</v>
      </c>
      <c r="N64" s="121">
        <f t="shared" si="3"/>
        <v>4690</v>
      </c>
    </row>
    <row r="65" spans="2:14" x14ac:dyDescent="0.3">
      <c r="B65" s="98" t="str">
        <f>Rates!C61</f>
        <v>Central African Republic</v>
      </c>
      <c r="C65" s="98" t="str">
        <f>Rates!D61</f>
        <v>Partner Countries</v>
      </c>
      <c r="D65" s="136">
        <f>Rates!E61</f>
        <v>47</v>
      </c>
      <c r="E65" s="136">
        <f>Rates!F61</f>
        <v>33</v>
      </c>
      <c r="F65" s="136">
        <f>Rates!G61</f>
        <v>22</v>
      </c>
      <c r="G65" s="136">
        <f>Rates!H61</f>
        <v>17</v>
      </c>
      <c r="L65" s="13">
        <v>58</v>
      </c>
      <c r="M65" s="100">
        <f t="shared" si="2"/>
        <v>2530</v>
      </c>
      <c r="N65" s="121">
        <f t="shared" si="3"/>
        <v>4760</v>
      </c>
    </row>
    <row r="66" spans="2:14" x14ac:dyDescent="0.3">
      <c r="B66" s="98" t="str">
        <f>Rates!C62</f>
        <v>Chad</v>
      </c>
      <c r="C66" s="98" t="str">
        <f>Rates!D62</f>
        <v>Partner Countries</v>
      </c>
      <c r="D66" s="136">
        <f>Rates!E62</f>
        <v>47</v>
      </c>
      <c r="E66" s="136">
        <f>Rates!F62</f>
        <v>33</v>
      </c>
      <c r="F66" s="136">
        <f>Rates!G62</f>
        <v>22</v>
      </c>
      <c r="G66" s="136">
        <f>Rates!H62</f>
        <v>17</v>
      </c>
      <c r="L66" s="13">
        <v>59</v>
      </c>
      <c r="M66" s="100">
        <f t="shared" si="2"/>
        <v>2570</v>
      </c>
      <c r="N66" s="121">
        <f t="shared" si="3"/>
        <v>4830</v>
      </c>
    </row>
    <row r="67" spans="2:14" x14ac:dyDescent="0.3">
      <c r="B67" s="98" t="str">
        <f>Rates!C63</f>
        <v>Chile</v>
      </c>
      <c r="C67" s="98" t="str">
        <f>Rates!D63</f>
        <v>Partner Countries</v>
      </c>
      <c r="D67" s="136">
        <f>Rates!E63</f>
        <v>108</v>
      </c>
      <c r="E67" s="136">
        <f>Rates!F63</f>
        <v>80</v>
      </c>
      <c r="F67" s="136">
        <f>Rates!G63</f>
        <v>57</v>
      </c>
      <c r="G67" s="136">
        <f>Rates!H63</f>
        <v>45</v>
      </c>
      <c r="L67" s="13">
        <v>60</v>
      </c>
      <c r="M67" s="100">
        <f t="shared" si="2"/>
        <v>2610</v>
      </c>
      <c r="N67" s="121">
        <f t="shared" si="3"/>
        <v>4900</v>
      </c>
    </row>
    <row r="68" spans="2:14" x14ac:dyDescent="0.3">
      <c r="B68" s="98" t="str">
        <f>Rates!C64</f>
        <v>China</v>
      </c>
      <c r="C68" s="98" t="str">
        <f>Rates!D64</f>
        <v>Partner Countries</v>
      </c>
      <c r="D68" s="136">
        <f>Rates!E64</f>
        <v>77</v>
      </c>
      <c r="E68" s="136">
        <f>Rates!F64</f>
        <v>57</v>
      </c>
      <c r="F68" s="136">
        <f>Rates!G64</f>
        <v>40</v>
      </c>
      <c r="G68" s="136">
        <f>Rates!H64</f>
        <v>32</v>
      </c>
      <c r="L68" s="102">
        <v>61</v>
      </c>
      <c r="M68" s="100">
        <f t="shared" si="2"/>
        <v>2650</v>
      </c>
      <c r="N68" s="101">
        <f>((L68-$L$67)*50)+4900</f>
        <v>4950</v>
      </c>
    </row>
    <row r="69" spans="2:14" x14ac:dyDescent="0.3">
      <c r="B69" s="98" t="str">
        <f>Rates!C65</f>
        <v>Colombia</v>
      </c>
      <c r="C69" s="98" t="str">
        <f>Rates!D65</f>
        <v>Partner Countries</v>
      </c>
      <c r="D69" s="136">
        <f>Rates!E65</f>
        <v>108</v>
      </c>
      <c r="E69" s="136">
        <f>Rates!F65</f>
        <v>80</v>
      </c>
      <c r="F69" s="136">
        <f>Rates!G65</f>
        <v>57</v>
      </c>
      <c r="G69" s="136">
        <f>Rates!H65</f>
        <v>45</v>
      </c>
      <c r="L69" s="13">
        <v>62</v>
      </c>
      <c r="M69" s="100">
        <f t="shared" si="2"/>
        <v>2690</v>
      </c>
      <c r="N69" s="101">
        <f t="shared" ref="N69:N97" si="4">((L69-$L$67)*50)+4900</f>
        <v>5000</v>
      </c>
    </row>
    <row r="70" spans="2:14" x14ac:dyDescent="0.3">
      <c r="B70" s="98" t="str">
        <f>Rates!C66</f>
        <v>Comoros</v>
      </c>
      <c r="C70" s="98" t="str">
        <f>Rates!D66</f>
        <v>Partner Countries</v>
      </c>
      <c r="D70" s="136">
        <f>Rates!E66</f>
        <v>108</v>
      </c>
      <c r="E70" s="136">
        <f>Rates!F66</f>
        <v>80</v>
      </c>
      <c r="F70" s="136">
        <f>Rates!G66</f>
        <v>57</v>
      </c>
      <c r="G70" s="136">
        <f>Rates!H66</f>
        <v>45</v>
      </c>
      <c r="L70" s="13">
        <v>63</v>
      </c>
      <c r="M70" s="100">
        <f t="shared" si="2"/>
        <v>2730</v>
      </c>
      <c r="N70" s="101">
        <f t="shared" si="4"/>
        <v>5050</v>
      </c>
    </row>
    <row r="71" spans="2:14" x14ac:dyDescent="0.3">
      <c r="B71" s="98" t="str">
        <f>Rates!C67</f>
        <v>Congo</v>
      </c>
      <c r="C71" s="98" t="str">
        <f>Rates!D67</f>
        <v>Partner Countries</v>
      </c>
      <c r="D71" s="136">
        <f>Rates!E67</f>
        <v>77</v>
      </c>
      <c r="E71" s="136">
        <f>Rates!F67</f>
        <v>57</v>
      </c>
      <c r="F71" s="136">
        <f>Rates!G67</f>
        <v>40</v>
      </c>
      <c r="G71" s="136">
        <f>Rates!H67</f>
        <v>32</v>
      </c>
      <c r="L71" s="13">
        <v>64</v>
      </c>
      <c r="M71" s="100">
        <f t="shared" si="2"/>
        <v>2770</v>
      </c>
      <c r="N71" s="101">
        <f t="shared" si="4"/>
        <v>5100</v>
      </c>
    </row>
    <row r="72" spans="2:14" x14ac:dyDescent="0.3">
      <c r="B72" s="98" t="str">
        <f>Rates!C68</f>
        <v>Congo - Republic of the-</v>
      </c>
      <c r="C72" s="98" t="str">
        <f>Rates!D68</f>
        <v>Partner Countries</v>
      </c>
      <c r="D72" s="136">
        <f>Rates!E68</f>
        <v>47</v>
      </c>
      <c r="E72" s="136">
        <f>Rates!F68</f>
        <v>33</v>
      </c>
      <c r="F72" s="136">
        <f>Rates!G68</f>
        <v>22</v>
      </c>
      <c r="G72" s="136">
        <f>Rates!H68</f>
        <v>17</v>
      </c>
      <c r="L72" s="13">
        <v>65</v>
      </c>
      <c r="M72" s="100">
        <f t="shared" si="2"/>
        <v>2810</v>
      </c>
      <c r="N72" s="101">
        <f t="shared" si="4"/>
        <v>5150</v>
      </c>
    </row>
    <row r="73" spans="2:14" x14ac:dyDescent="0.3">
      <c r="B73" s="98" t="str">
        <f>Rates!C69</f>
        <v>Cook Islands</v>
      </c>
      <c r="C73" s="98" t="str">
        <f>Rates!D69</f>
        <v>Partner Countries</v>
      </c>
      <c r="D73" s="136">
        <f>Rates!E69</f>
        <v>108</v>
      </c>
      <c r="E73" s="136">
        <f>Rates!F69</f>
        <v>80</v>
      </c>
      <c r="F73" s="136">
        <f>Rates!G69</f>
        <v>57</v>
      </c>
      <c r="G73" s="136">
        <f>Rates!H69</f>
        <v>45</v>
      </c>
      <c r="L73" s="13">
        <v>66</v>
      </c>
      <c r="M73" s="100">
        <f t="shared" si="2"/>
        <v>2850</v>
      </c>
      <c r="N73" s="101">
        <f t="shared" si="4"/>
        <v>5200</v>
      </c>
    </row>
    <row r="74" spans="2:14" x14ac:dyDescent="0.3">
      <c r="B74" s="98" t="str">
        <f>Rates!C70</f>
        <v>Costa Rica</v>
      </c>
      <c r="C74" s="98" t="str">
        <f>Rates!D70</f>
        <v>Partner Countries</v>
      </c>
      <c r="D74" s="136">
        <f>Rates!E70</f>
        <v>77</v>
      </c>
      <c r="E74" s="136">
        <f>Rates!F70</f>
        <v>57</v>
      </c>
      <c r="F74" s="136">
        <f>Rates!G70</f>
        <v>40</v>
      </c>
      <c r="G74" s="136">
        <f>Rates!H70</f>
        <v>32</v>
      </c>
      <c r="L74" s="13">
        <v>67</v>
      </c>
      <c r="M74" s="100">
        <f t="shared" si="2"/>
        <v>2890</v>
      </c>
      <c r="N74" s="101">
        <f t="shared" si="4"/>
        <v>5250</v>
      </c>
    </row>
    <row r="75" spans="2:14" x14ac:dyDescent="0.3">
      <c r="B75" s="98" t="str">
        <f>Rates!C71</f>
        <v>Cuba</v>
      </c>
      <c r="C75" s="98" t="str">
        <f>Rates!D71</f>
        <v>Partner Countries</v>
      </c>
      <c r="D75" s="136">
        <f>Rates!E71</f>
        <v>47</v>
      </c>
      <c r="E75" s="136">
        <f>Rates!F71</f>
        <v>33</v>
      </c>
      <c r="F75" s="136">
        <f>Rates!G71</f>
        <v>22</v>
      </c>
      <c r="G75" s="136">
        <f>Rates!H71</f>
        <v>17</v>
      </c>
      <c r="L75" s="13">
        <v>68</v>
      </c>
      <c r="M75" s="100">
        <f t="shared" si="2"/>
        <v>2930</v>
      </c>
      <c r="N75" s="101">
        <f t="shared" si="4"/>
        <v>5300</v>
      </c>
    </row>
    <row r="76" spans="2:14" x14ac:dyDescent="0.3">
      <c r="B76" s="98" t="str">
        <f>Rates!C72</f>
        <v>Djibouti</v>
      </c>
      <c r="C76" s="98" t="str">
        <f>Rates!D72</f>
        <v>Partner Countries</v>
      </c>
      <c r="D76" s="136">
        <f>Rates!E72</f>
        <v>77</v>
      </c>
      <c r="E76" s="136">
        <f>Rates!F72</f>
        <v>57</v>
      </c>
      <c r="F76" s="136">
        <f>Rates!G72</f>
        <v>40</v>
      </c>
      <c r="G76" s="136">
        <f>Rates!H72</f>
        <v>32</v>
      </c>
      <c r="L76" s="13">
        <v>69</v>
      </c>
      <c r="M76" s="100">
        <f t="shared" si="2"/>
        <v>2970</v>
      </c>
      <c r="N76" s="101">
        <f t="shared" si="4"/>
        <v>5350</v>
      </c>
    </row>
    <row r="77" spans="2:14" x14ac:dyDescent="0.3">
      <c r="B77" s="98" t="str">
        <f>Rates!C73</f>
        <v>Dominica</v>
      </c>
      <c r="C77" s="98" t="str">
        <f>Rates!D73</f>
        <v>Partner Countries</v>
      </c>
      <c r="D77" s="136">
        <f>Rates!E73</f>
        <v>108</v>
      </c>
      <c r="E77" s="136">
        <f>Rates!F73</f>
        <v>80</v>
      </c>
      <c r="F77" s="136">
        <f>Rates!G73</f>
        <v>57</v>
      </c>
      <c r="G77" s="136">
        <f>Rates!H73</f>
        <v>45</v>
      </c>
      <c r="L77" s="13">
        <v>70</v>
      </c>
      <c r="M77" s="100">
        <f t="shared" si="2"/>
        <v>3010</v>
      </c>
      <c r="N77" s="101">
        <f t="shared" si="4"/>
        <v>5400</v>
      </c>
    </row>
    <row r="78" spans="2:14" x14ac:dyDescent="0.3">
      <c r="B78" s="98" t="str">
        <f>Rates!C74</f>
        <v>Dominican Republic</v>
      </c>
      <c r="C78" s="98" t="str">
        <f>Rates!D74</f>
        <v>Partner Countries</v>
      </c>
      <c r="D78" s="136">
        <f>Rates!E74</f>
        <v>77</v>
      </c>
      <c r="E78" s="136">
        <f>Rates!F74</f>
        <v>57</v>
      </c>
      <c r="F78" s="136">
        <f>Rates!G74</f>
        <v>40</v>
      </c>
      <c r="G78" s="136">
        <f>Rates!H74</f>
        <v>32</v>
      </c>
      <c r="L78" s="13">
        <v>71</v>
      </c>
      <c r="M78" s="100">
        <f t="shared" si="2"/>
        <v>3050</v>
      </c>
      <c r="N78" s="101">
        <f t="shared" si="4"/>
        <v>5450</v>
      </c>
    </row>
    <row r="79" spans="2:14" x14ac:dyDescent="0.3">
      <c r="B79" s="98" t="str">
        <f>Rates!C75</f>
        <v>DPR Korea</v>
      </c>
      <c r="C79" s="98" t="str">
        <f>Rates!D75</f>
        <v>Partner Countries</v>
      </c>
      <c r="D79" s="136">
        <f>Rates!E75</f>
        <v>47</v>
      </c>
      <c r="E79" s="136">
        <f>Rates!F75</f>
        <v>33</v>
      </c>
      <c r="F79" s="136">
        <f>Rates!G75</f>
        <v>22</v>
      </c>
      <c r="G79" s="136">
        <f>Rates!H75</f>
        <v>17</v>
      </c>
      <c r="L79" s="13">
        <v>72</v>
      </c>
      <c r="M79" s="100">
        <f t="shared" si="2"/>
        <v>3090</v>
      </c>
      <c r="N79" s="101">
        <f t="shared" si="4"/>
        <v>5500</v>
      </c>
    </row>
    <row r="80" spans="2:14" x14ac:dyDescent="0.3">
      <c r="B80" s="98" t="str">
        <f>Rates!C76</f>
        <v>Ecuador</v>
      </c>
      <c r="C80" s="98" t="str">
        <f>Rates!D76</f>
        <v>Partner Countries</v>
      </c>
      <c r="D80" s="136">
        <f>Rates!E76</f>
        <v>77</v>
      </c>
      <c r="E80" s="136">
        <f>Rates!F76</f>
        <v>57</v>
      </c>
      <c r="F80" s="136">
        <f>Rates!G76</f>
        <v>40</v>
      </c>
      <c r="G80" s="136">
        <f>Rates!H76</f>
        <v>32</v>
      </c>
      <c r="L80" s="13">
        <v>73</v>
      </c>
      <c r="M80" s="100">
        <f t="shared" si="2"/>
        <v>3130</v>
      </c>
      <c r="N80" s="101">
        <f t="shared" si="4"/>
        <v>5550</v>
      </c>
    </row>
    <row r="81" spans="2:14" x14ac:dyDescent="0.3">
      <c r="B81" s="98" t="str">
        <f>Rates!C77</f>
        <v>Egypt</v>
      </c>
      <c r="C81" s="98" t="str">
        <f>Rates!D77</f>
        <v>Partner Countries</v>
      </c>
      <c r="D81" s="136">
        <f>Rates!E77</f>
        <v>47</v>
      </c>
      <c r="E81" s="136">
        <f>Rates!F77</f>
        <v>33</v>
      </c>
      <c r="F81" s="136">
        <f>Rates!G77</f>
        <v>22</v>
      </c>
      <c r="G81" s="136">
        <f>Rates!H77</f>
        <v>17</v>
      </c>
      <c r="L81" s="13">
        <v>74</v>
      </c>
      <c r="M81" s="100">
        <f t="shared" si="2"/>
        <v>3170</v>
      </c>
      <c r="N81" s="101">
        <f t="shared" si="4"/>
        <v>5600</v>
      </c>
    </row>
    <row r="82" spans="2:14" x14ac:dyDescent="0.3">
      <c r="B82" s="98" t="str">
        <f>Rates!C78</f>
        <v>El Salvador</v>
      </c>
      <c r="C82" s="98" t="str">
        <f>Rates!D78</f>
        <v>Partner Countries</v>
      </c>
      <c r="D82" s="136">
        <f>Rates!E78</f>
        <v>77</v>
      </c>
      <c r="E82" s="136">
        <f>Rates!F78</f>
        <v>57</v>
      </c>
      <c r="F82" s="136">
        <f>Rates!G78</f>
        <v>40</v>
      </c>
      <c r="G82" s="136">
        <f>Rates!H78</f>
        <v>32</v>
      </c>
      <c r="L82" s="13">
        <v>75</v>
      </c>
      <c r="M82" s="100">
        <f t="shared" si="2"/>
        <v>3210</v>
      </c>
      <c r="N82" s="101">
        <f t="shared" si="4"/>
        <v>5650</v>
      </c>
    </row>
    <row r="83" spans="2:14" x14ac:dyDescent="0.3">
      <c r="B83" s="98" t="str">
        <f>Rates!C79</f>
        <v>Equatorial Guinea</v>
      </c>
      <c r="C83" s="98" t="str">
        <f>Rates!D79</f>
        <v>Partner Countries</v>
      </c>
      <c r="D83" s="136">
        <f>Rates!E79</f>
        <v>47</v>
      </c>
      <c r="E83" s="136">
        <f>Rates!F79</f>
        <v>33</v>
      </c>
      <c r="F83" s="136">
        <f>Rates!G79</f>
        <v>22</v>
      </c>
      <c r="G83" s="136">
        <f>Rates!H79</f>
        <v>17</v>
      </c>
      <c r="L83" s="13">
        <v>76</v>
      </c>
      <c r="M83" s="100">
        <f t="shared" si="2"/>
        <v>3250</v>
      </c>
      <c r="N83" s="101">
        <f t="shared" si="4"/>
        <v>5700</v>
      </c>
    </row>
    <row r="84" spans="2:14" x14ac:dyDescent="0.3">
      <c r="B84" s="98" t="str">
        <f>Rates!C80</f>
        <v>Eritrea</v>
      </c>
      <c r="C84" s="98" t="str">
        <f>Rates!D80</f>
        <v>Partner Countries</v>
      </c>
      <c r="D84" s="136">
        <f>Rates!E80</f>
        <v>47</v>
      </c>
      <c r="E84" s="136">
        <f>Rates!F80</f>
        <v>33</v>
      </c>
      <c r="F84" s="136">
        <f>Rates!G80</f>
        <v>22</v>
      </c>
      <c r="G84" s="136">
        <f>Rates!H80</f>
        <v>17</v>
      </c>
      <c r="L84" s="13">
        <v>77</v>
      </c>
      <c r="M84" s="100">
        <f t="shared" si="2"/>
        <v>3290</v>
      </c>
      <c r="N84" s="101">
        <f t="shared" si="4"/>
        <v>5750</v>
      </c>
    </row>
    <row r="85" spans="2:14" x14ac:dyDescent="0.3">
      <c r="B85" s="98" t="str">
        <f>Rates!C81</f>
        <v>Ethiopia</v>
      </c>
      <c r="C85" s="98" t="str">
        <f>Rates!D81</f>
        <v>Partner Countries</v>
      </c>
      <c r="D85" s="136">
        <f>Rates!E81</f>
        <v>47</v>
      </c>
      <c r="E85" s="136">
        <f>Rates!F81</f>
        <v>33</v>
      </c>
      <c r="F85" s="136">
        <f>Rates!G81</f>
        <v>22</v>
      </c>
      <c r="G85" s="136">
        <f>Rates!H81</f>
        <v>17</v>
      </c>
      <c r="L85" s="13">
        <v>78</v>
      </c>
      <c r="M85" s="100">
        <f t="shared" si="2"/>
        <v>3330</v>
      </c>
      <c r="N85" s="101">
        <f t="shared" si="4"/>
        <v>5800</v>
      </c>
    </row>
    <row r="86" spans="2:14" x14ac:dyDescent="0.3">
      <c r="B86" s="98" t="str">
        <f>Rates!C82</f>
        <v>Fiji</v>
      </c>
      <c r="C86" s="98" t="str">
        <f>Rates!D82</f>
        <v>Partner Countries</v>
      </c>
      <c r="D86" s="136">
        <f>Rates!E82</f>
        <v>47</v>
      </c>
      <c r="E86" s="136">
        <f>Rates!F82</f>
        <v>33</v>
      </c>
      <c r="F86" s="136">
        <f>Rates!G82</f>
        <v>22</v>
      </c>
      <c r="G86" s="136">
        <f>Rates!H82</f>
        <v>17</v>
      </c>
      <c r="L86" s="13">
        <v>79</v>
      </c>
      <c r="M86" s="100">
        <f t="shared" si="2"/>
        <v>3370</v>
      </c>
      <c r="N86" s="101">
        <f t="shared" si="4"/>
        <v>5850</v>
      </c>
    </row>
    <row r="87" spans="2:14" x14ac:dyDescent="0.3">
      <c r="B87" s="98" t="str">
        <f>Rates!C83</f>
        <v>Gabon</v>
      </c>
      <c r="C87" s="98" t="str">
        <f>Rates!D83</f>
        <v>Partner Countries</v>
      </c>
      <c r="D87" s="136">
        <f>Rates!E83</f>
        <v>108</v>
      </c>
      <c r="E87" s="136">
        <f>Rates!F83</f>
        <v>80</v>
      </c>
      <c r="F87" s="136">
        <f>Rates!G83</f>
        <v>57</v>
      </c>
      <c r="G87" s="136">
        <f>Rates!H83</f>
        <v>45</v>
      </c>
      <c r="L87" s="13">
        <v>80</v>
      </c>
      <c r="M87" s="100">
        <f t="shared" ref="M87:M97" si="5">((L87-$L$21)*40)+770</f>
        <v>3410</v>
      </c>
      <c r="N87" s="101">
        <f t="shared" si="4"/>
        <v>5900</v>
      </c>
    </row>
    <row r="88" spans="2:14" x14ac:dyDescent="0.3">
      <c r="B88" s="98" t="str">
        <f>Rates!C84</f>
        <v>Gambia</v>
      </c>
      <c r="C88" s="98" t="str">
        <f>Rates!D84</f>
        <v>Partner Countries</v>
      </c>
      <c r="D88" s="136">
        <f>Rates!E84</f>
        <v>47</v>
      </c>
      <c r="E88" s="136">
        <f>Rates!F84</f>
        <v>33</v>
      </c>
      <c r="F88" s="136">
        <f>Rates!G84</f>
        <v>22</v>
      </c>
      <c r="G88" s="136">
        <f>Rates!H84</f>
        <v>17</v>
      </c>
      <c r="L88" s="13">
        <v>81</v>
      </c>
      <c r="M88" s="100">
        <f t="shared" si="5"/>
        <v>3450</v>
      </c>
      <c r="N88" s="101">
        <f t="shared" si="4"/>
        <v>5950</v>
      </c>
    </row>
    <row r="89" spans="2:14" x14ac:dyDescent="0.3">
      <c r="B89" s="98" t="str">
        <f>Rates!C85</f>
        <v>Georgia</v>
      </c>
      <c r="C89" s="98" t="str">
        <f>Rates!D85</f>
        <v>Partner Countries</v>
      </c>
      <c r="D89" s="136">
        <f>Rates!E85</f>
        <v>77</v>
      </c>
      <c r="E89" s="136">
        <f>Rates!F85</f>
        <v>57</v>
      </c>
      <c r="F89" s="136">
        <f>Rates!G85</f>
        <v>40</v>
      </c>
      <c r="G89" s="136">
        <f>Rates!H85</f>
        <v>32</v>
      </c>
      <c r="L89" s="13">
        <v>82</v>
      </c>
      <c r="M89" s="100">
        <f t="shared" si="5"/>
        <v>3490</v>
      </c>
      <c r="N89" s="101">
        <f t="shared" si="4"/>
        <v>6000</v>
      </c>
    </row>
    <row r="90" spans="2:14" x14ac:dyDescent="0.3">
      <c r="B90" s="98" t="str">
        <f>Rates!C86</f>
        <v>Ghana</v>
      </c>
      <c r="C90" s="98" t="str">
        <f>Rates!D86</f>
        <v>Partner Countries</v>
      </c>
      <c r="D90" s="136">
        <f>Rates!E86</f>
        <v>47</v>
      </c>
      <c r="E90" s="136">
        <f>Rates!F86</f>
        <v>33</v>
      </c>
      <c r="F90" s="136">
        <f>Rates!G86</f>
        <v>22</v>
      </c>
      <c r="G90" s="136">
        <f>Rates!H86</f>
        <v>17</v>
      </c>
      <c r="L90" s="13">
        <v>83</v>
      </c>
      <c r="M90" s="100">
        <f t="shared" si="5"/>
        <v>3530</v>
      </c>
      <c r="N90" s="101">
        <f t="shared" si="4"/>
        <v>6050</v>
      </c>
    </row>
    <row r="91" spans="2:14" x14ac:dyDescent="0.3">
      <c r="B91" s="98" t="str">
        <f>Rates!C87</f>
        <v>Grenada</v>
      </c>
      <c r="C91" s="98" t="str">
        <f>Rates!D87</f>
        <v>Partner Countries</v>
      </c>
      <c r="D91" s="136">
        <f>Rates!E87</f>
        <v>108</v>
      </c>
      <c r="E91" s="136">
        <f>Rates!F87</f>
        <v>80</v>
      </c>
      <c r="F91" s="136">
        <f>Rates!G87</f>
        <v>57</v>
      </c>
      <c r="G91" s="136">
        <f>Rates!H87</f>
        <v>45</v>
      </c>
      <c r="L91" s="13">
        <v>84</v>
      </c>
      <c r="M91" s="100">
        <f t="shared" si="5"/>
        <v>3570</v>
      </c>
      <c r="N91" s="101">
        <f t="shared" si="4"/>
        <v>6100</v>
      </c>
    </row>
    <row r="92" spans="2:14" x14ac:dyDescent="0.3">
      <c r="B92" s="98" t="str">
        <f>Rates!C88</f>
        <v>Guatemala</v>
      </c>
      <c r="C92" s="98" t="str">
        <f>Rates!D88</f>
        <v>Partner Countries</v>
      </c>
      <c r="D92" s="136">
        <f>Rates!E88</f>
        <v>77</v>
      </c>
      <c r="E92" s="136">
        <f>Rates!F88</f>
        <v>57</v>
      </c>
      <c r="F92" s="136">
        <f>Rates!G88</f>
        <v>40</v>
      </c>
      <c r="G92" s="136">
        <f>Rates!H88</f>
        <v>32</v>
      </c>
      <c r="L92" s="13">
        <v>85</v>
      </c>
      <c r="M92" s="100">
        <f t="shared" si="5"/>
        <v>3610</v>
      </c>
      <c r="N92" s="101">
        <f t="shared" si="4"/>
        <v>6150</v>
      </c>
    </row>
    <row r="93" spans="2:14" x14ac:dyDescent="0.3">
      <c r="B93" s="98" t="str">
        <f>Rates!C89</f>
        <v>Guinea</v>
      </c>
      <c r="C93" s="98" t="str">
        <f>Rates!D89</f>
        <v>Partner Countries</v>
      </c>
      <c r="D93" s="136">
        <f>Rates!E89</f>
        <v>47</v>
      </c>
      <c r="E93" s="136">
        <f>Rates!F89</f>
        <v>33</v>
      </c>
      <c r="F93" s="136">
        <f>Rates!G89</f>
        <v>22</v>
      </c>
      <c r="G93" s="136">
        <f>Rates!H89</f>
        <v>17</v>
      </c>
      <c r="L93" s="13">
        <v>86</v>
      </c>
      <c r="M93" s="100">
        <f t="shared" si="5"/>
        <v>3650</v>
      </c>
      <c r="N93" s="101">
        <f t="shared" si="4"/>
        <v>6200</v>
      </c>
    </row>
    <row r="94" spans="2:14" x14ac:dyDescent="0.3">
      <c r="B94" s="98" t="str">
        <f>Rates!C90</f>
        <v>Guinea-Bissau</v>
      </c>
      <c r="C94" s="98" t="str">
        <f>Rates!D90</f>
        <v>Partner Countries</v>
      </c>
      <c r="D94" s="136">
        <f>Rates!E90</f>
        <v>77</v>
      </c>
      <c r="E94" s="136">
        <f>Rates!F90</f>
        <v>57</v>
      </c>
      <c r="F94" s="136">
        <f>Rates!G90</f>
        <v>40</v>
      </c>
      <c r="G94" s="136">
        <f>Rates!H90</f>
        <v>32</v>
      </c>
      <c r="L94" s="13">
        <v>87</v>
      </c>
      <c r="M94" s="100">
        <f t="shared" si="5"/>
        <v>3690</v>
      </c>
      <c r="N94" s="101">
        <f t="shared" si="4"/>
        <v>6250</v>
      </c>
    </row>
    <row r="95" spans="2:14" x14ac:dyDescent="0.3">
      <c r="B95" s="98" t="str">
        <f>Rates!C91</f>
        <v>Guyana</v>
      </c>
      <c r="C95" s="98" t="str">
        <f>Rates!D91</f>
        <v>Partner Countries</v>
      </c>
      <c r="D95" s="136">
        <f>Rates!E91</f>
        <v>47</v>
      </c>
      <c r="E95" s="136">
        <f>Rates!F91</f>
        <v>33</v>
      </c>
      <c r="F95" s="136">
        <f>Rates!G91</f>
        <v>22</v>
      </c>
      <c r="G95" s="136">
        <f>Rates!H91</f>
        <v>17</v>
      </c>
      <c r="L95" s="13">
        <v>88</v>
      </c>
      <c r="M95" s="100">
        <f t="shared" si="5"/>
        <v>3730</v>
      </c>
      <c r="N95" s="101">
        <f t="shared" si="4"/>
        <v>6300</v>
      </c>
    </row>
    <row r="96" spans="2:14" x14ac:dyDescent="0.3">
      <c r="B96" s="98" t="str">
        <f>Rates!C92</f>
        <v>Haiti</v>
      </c>
      <c r="C96" s="98" t="str">
        <f>Rates!D92</f>
        <v>Partner Countries</v>
      </c>
      <c r="D96" s="136">
        <f>Rates!E92</f>
        <v>77</v>
      </c>
      <c r="E96" s="136">
        <f>Rates!F92</f>
        <v>57</v>
      </c>
      <c r="F96" s="136">
        <f>Rates!G92</f>
        <v>40</v>
      </c>
      <c r="G96" s="136">
        <f>Rates!H92</f>
        <v>32</v>
      </c>
      <c r="L96" s="13">
        <v>89</v>
      </c>
      <c r="M96" s="100">
        <f t="shared" si="5"/>
        <v>3770</v>
      </c>
      <c r="N96" s="101">
        <f t="shared" si="4"/>
        <v>6350</v>
      </c>
    </row>
    <row r="97" spans="2:14" x14ac:dyDescent="0.3">
      <c r="B97" s="98" t="str">
        <f>Rates!C93</f>
        <v>Honduras</v>
      </c>
      <c r="C97" s="98" t="str">
        <f>Rates!D93</f>
        <v>Partner Countries</v>
      </c>
      <c r="D97" s="136">
        <f>Rates!E93</f>
        <v>47</v>
      </c>
      <c r="E97" s="136">
        <f>Rates!F93</f>
        <v>33</v>
      </c>
      <c r="F97" s="136">
        <f>Rates!G93</f>
        <v>22</v>
      </c>
      <c r="G97" s="136">
        <f>Rates!H93</f>
        <v>17</v>
      </c>
      <c r="L97" s="13">
        <v>90</v>
      </c>
      <c r="M97" s="100">
        <f t="shared" si="5"/>
        <v>3810</v>
      </c>
      <c r="N97" s="101">
        <f t="shared" si="4"/>
        <v>6400</v>
      </c>
    </row>
    <row r="98" spans="2:14" x14ac:dyDescent="0.3">
      <c r="B98" s="98" t="str">
        <f>Rates!C94</f>
        <v>India</v>
      </c>
      <c r="C98" s="98" t="str">
        <f>Rates!D94</f>
        <v>Partner Countries</v>
      </c>
      <c r="D98" s="136">
        <f>Rates!E94</f>
        <v>47</v>
      </c>
      <c r="E98" s="136">
        <f>Rates!F94</f>
        <v>33</v>
      </c>
      <c r="F98" s="136">
        <f>Rates!G94</f>
        <v>22</v>
      </c>
      <c r="G98" s="136">
        <f>Rates!H94</f>
        <v>17</v>
      </c>
    </row>
    <row r="99" spans="2:14" x14ac:dyDescent="0.3">
      <c r="B99" s="98" t="str">
        <f>Rates!C95</f>
        <v>Indonesia</v>
      </c>
      <c r="C99" s="98" t="str">
        <f>Rates!D95</f>
        <v>Partner Countries</v>
      </c>
      <c r="D99" s="136">
        <f>Rates!E95</f>
        <v>47</v>
      </c>
      <c r="E99" s="136">
        <f>Rates!F95</f>
        <v>33</v>
      </c>
      <c r="F99" s="136">
        <f>Rates!G95</f>
        <v>22</v>
      </c>
      <c r="G99" s="136">
        <f>Rates!H95</f>
        <v>17</v>
      </c>
    </row>
    <row r="100" spans="2:14" x14ac:dyDescent="0.3">
      <c r="B100" s="98" t="str">
        <f>Rates!C96</f>
        <v>Iran</v>
      </c>
      <c r="C100" s="98" t="str">
        <f>Rates!D96</f>
        <v>Partner Countries</v>
      </c>
      <c r="D100" s="136">
        <f>Rates!E96</f>
        <v>77</v>
      </c>
      <c r="E100" s="136">
        <f>Rates!F96</f>
        <v>57</v>
      </c>
      <c r="F100" s="136">
        <f>Rates!G96</f>
        <v>40</v>
      </c>
      <c r="G100" s="136">
        <f>Rates!H96</f>
        <v>32</v>
      </c>
    </row>
    <row r="101" spans="2:14" x14ac:dyDescent="0.3">
      <c r="B101" s="98" t="str">
        <f>Rates!C97</f>
        <v>Iraq</v>
      </c>
      <c r="C101" s="98" t="str">
        <f>Rates!D97</f>
        <v>Partner Countries</v>
      </c>
      <c r="D101" s="136">
        <f>Rates!E97</f>
        <v>77</v>
      </c>
      <c r="E101" s="136">
        <f>Rates!F97</f>
        <v>57</v>
      </c>
      <c r="F101" s="136">
        <f>Rates!G97</f>
        <v>40</v>
      </c>
      <c r="G101" s="136">
        <f>Rates!H97</f>
        <v>32</v>
      </c>
    </row>
    <row r="102" spans="2:14" x14ac:dyDescent="0.3">
      <c r="B102" s="98" t="str">
        <f>Rates!C98</f>
        <v>Israel</v>
      </c>
      <c r="C102" s="98" t="str">
        <f>Rates!D98</f>
        <v>Partner Countries</v>
      </c>
      <c r="D102" s="136">
        <f>Rates!E98</f>
        <v>166</v>
      </c>
      <c r="E102" s="136">
        <f>Rates!F98</f>
        <v>132</v>
      </c>
      <c r="F102" s="136">
        <f>Rates!G98</f>
        <v>102</v>
      </c>
      <c r="G102" s="136">
        <f>Rates!H98</f>
        <v>92</v>
      </c>
    </row>
    <row r="103" spans="2:14" x14ac:dyDescent="0.3">
      <c r="B103" s="98" t="str">
        <f>Rates!C99</f>
        <v>Ivory Coast</v>
      </c>
      <c r="C103" s="98" t="str">
        <f>Rates!D99</f>
        <v>Partner Countries</v>
      </c>
      <c r="D103" s="136">
        <f>Rates!E99</f>
        <v>108</v>
      </c>
      <c r="E103" s="136">
        <f>Rates!F99</f>
        <v>80</v>
      </c>
      <c r="F103" s="136">
        <f>Rates!G99</f>
        <v>57</v>
      </c>
      <c r="G103" s="136">
        <f>Rates!H99</f>
        <v>45</v>
      </c>
    </row>
    <row r="104" spans="2:14" x14ac:dyDescent="0.3">
      <c r="B104" s="98" t="str">
        <f>Rates!C100</f>
        <v>Jamaica</v>
      </c>
      <c r="C104" s="98" t="str">
        <f>Rates!D100</f>
        <v>Partner Countries</v>
      </c>
      <c r="D104" s="136">
        <f>Rates!E100</f>
        <v>77</v>
      </c>
      <c r="E104" s="136">
        <f>Rates!F100</f>
        <v>57</v>
      </c>
      <c r="F104" s="136">
        <f>Rates!G100</f>
        <v>40</v>
      </c>
      <c r="G104" s="136">
        <f>Rates!H100</f>
        <v>32</v>
      </c>
    </row>
    <row r="105" spans="2:14" x14ac:dyDescent="0.3">
      <c r="B105" s="98" t="str">
        <f>Rates!C101</f>
        <v>Jordan</v>
      </c>
      <c r="C105" s="98" t="str">
        <f>Rates!D101</f>
        <v>Partner Countries</v>
      </c>
      <c r="D105" s="136">
        <f>Rates!E101</f>
        <v>77</v>
      </c>
      <c r="E105" s="136">
        <f>Rates!F101</f>
        <v>57</v>
      </c>
      <c r="F105" s="136">
        <f>Rates!G101</f>
        <v>40</v>
      </c>
      <c r="G105" s="136">
        <f>Rates!H101</f>
        <v>32</v>
      </c>
    </row>
    <row r="106" spans="2:14" x14ac:dyDescent="0.3">
      <c r="B106" s="98" t="str">
        <f>Rates!C102</f>
        <v>Kazakstan</v>
      </c>
      <c r="C106" s="98" t="str">
        <f>Rates!D102</f>
        <v>Partner Countries</v>
      </c>
      <c r="D106" s="136">
        <f>Rates!E102</f>
        <v>77</v>
      </c>
      <c r="E106" s="136">
        <f>Rates!F102</f>
        <v>57</v>
      </c>
      <c r="F106" s="136">
        <f>Rates!G102</f>
        <v>40</v>
      </c>
      <c r="G106" s="136">
        <f>Rates!H102</f>
        <v>32</v>
      </c>
    </row>
    <row r="107" spans="2:14" x14ac:dyDescent="0.3">
      <c r="B107" s="98" t="str">
        <f>Rates!C103</f>
        <v>Kenya</v>
      </c>
      <c r="C107" s="98" t="str">
        <f>Rates!D103</f>
        <v>Partner Countries</v>
      </c>
      <c r="D107" s="136">
        <f>Rates!E103</f>
        <v>77</v>
      </c>
      <c r="E107" s="136">
        <f>Rates!F103</f>
        <v>57</v>
      </c>
      <c r="F107" s="136">
        <f>Rates!G103</f>
        <v>40</v>
      </c>
      <c r="G107" s="136">
        <f>Rates!H103</f>
        <v>32</v>
      </c>
    </row>
    <row r="108" spans="2:14" x14ac:dyDescent="0.3">
      <c r="B108" s="98" t="str">
        <f>Rates!C104</f>
        <v>Kiribati</v>
      </c>
      <c r="C108" s="98" t="str">
        <f>Rates!D104</f>
        <v>Partner Countries</v>
      </c>
      <c r="D108" s="136">
        <f>Rates!E104</f>
        <v>47</v>
      </c>
      <c r="E108" s="136">
        <f>Rates!F104</f>
        <v>33</v>
      </c>
      <c r="F108" s="136">
        <f>Rates!G104</f>
        <v>22</v>
      </c>
      <c r="G108" s="136">
        <f>Rates!H104</f>
        <v>17</v>
      </c>
    </row>
    <row r="109" spans="2:14" x14ac:dyDescent="0.3">
      <c r="B109" s="98" t="str">
        <f>Rates!C105</f>
        <v>Kosovo</v>
      </c>
      <c r="C109" s="98" t="str">
        <f>Rates!D105</f>
        <v>Partner Countries</v>
      </c>
      <c r="D109" s="136">
        <f>Rates!E105</f>
        <v>108</v>
      </c>
      <c r="E109" s="136">
        <f>Rates!F105</f>
        <v>80</v>
      </c>
      <c r="F109" s="136">
        <f>Rates!G105</f>
        <v>57</v>
      </c>
      <c r="G109" s="136">
        <f>Rates!H105</f>
        <v>45</v>
      </c>
    </row>
    <row r="110" spans="2:14" x14ac:dyDescent="0.3">
      <c r="B110" s="98" t="str">
        <f>Rates!C106</f>
        <v>Kyrgyzstan</v>
      </c>
      <c r="C110" s="98" t="str">
        <f>Rates!D106</f>
        <v>Partner Countries</v>
      </c>
      <c r="D110" s="136">
        <f>Rates!E106</f>
        <v>47</v>
      </c>
      <c r="E110" s="136">
        <f>Rates!F106</f>
        <v>33</v>
      </c>
      <c r="F110" s="136">
        <f>Rates!G106</f>
        <v>22</v>
      </c>
      <c r="G110" s="136">
        <f>Rates!H106</f>
        <v>17</v>
      </c>
    </row>
    <row r="111" spans="2:14" x14ac:dyDescent="0.3">
      <c r="B111" s="98" t="str">
        <f>Rates!C107</f>
        <v>Laos</v>
      </c>
      <c r="C111" s="98" t="str">
        <f>Rates!D107</f>
        <v>Partner Countries</v>
      </c>
      <c r="D111" s="136">
        <f>Rates!E107</f>
        <v>47</v>
      </c>
      <c r="E111" s="136">
        <f>Rates!F107</f>
        <v>33</v>
      </c>
      <c r="F111" s="136">
        <f>Rates!G107</f>
        <v>22</v>
      </c>
      <c r="G111" s="136">
        <f>Rates!H107</f>
        <v>17</v>
      </c>
    </row>
    <row r="112" spans="2:14" x14ac:dyDescent="0.3">
      <c r="B112" s="98" t="str">
        <f>Rates!C108</f>
        <v>Lebanon</v>
      </c>
      <c r="C112" s="98" t="str">
        <f>Rates!D108</f>
        <v>Partner Countries</v>
      </c>
      <c r="D112" s="136">
        <f>Rates!E108</f>
        <v>108</v>
      </c>
      <c r="E112" s="136">
        <f>Rates!F108</f>
        <v>80</v>
      </c>
      <c r="F112" s="136">
        <f>Rates!G108</f>
        <v>57</v>
      </c>
      <c r="G112" s="136">
        <f>Rates!H108</f>
        <v>45</v>
      </c>
    </row>
    <row r="113" spans="2:7" x14ac:dyDescent="0.3">
      <c r="B113" s="98" t="str">
        <f>Rates!C109</f>
        <v>Lesotho</v>
      </c>
      <c r="C113" s="98" t="str">
        <f>Rates!D109</f>
        <v>Partner Countries</v>
      </c>
      <c r="D113" s="136">
        <f>Rates!E109</f>
        <v>47</v>
      </c>
      <c r="E113" s="136">
        <f>Rates!F109</f>
        <v>33</v>
      </c>
      <c r="F113" s="136">
        <f>Rates!G109</f>
        <v>22</v>
      </c>
      <c r="G113" s="136">
        <f>Rates!H109</f>
        <v>17</v>
      </c>
    </row>
    <row r="114" spans="2:7" x14ac:dyDescent="0.3">
      <c r="B114" s="98" t="str">
        <f>Rates!C110</f>
        <v>Liberia</v>
      </c>
      <c r="C114" s="98" t="str">
        <f>Rates!D110</f>
        <v>Partner Countries</v>
      </c>
      <c r="D114" s="136">
        <f>Rates!E110</f>
        <v>47</v>
      </c>
      <c r="E114" s="136">
        <f>Rates!F110</f>
        <v>33</v>
      </c>
      <c r="F114" s="136">
        <f>Rates!G110</f>
        <v>22</v>
      </c>
      <c r="G114" s="136">
        <f>Rates!H110</f>
        <v>17</v>
      </c>
    </row>
    <row r="115" spans="2:7" x14ac:dyDescent="0.3">
      <c r="B115" s="98" t="str">
        <f>Rates!C111</f>
        <v>Libya</v>
      </c>
      <c r="C115" s="98" t="str">
        <f>Rates!D111</f>
        <v>Partner Countries</v>
      </c>
      <c r="D115" s="136">
        <f>Rates!E111</f>
        <v>108</v>
      </c>
      <c r="E115" s="136">
        <f>Rates!F111</f>
        <v>80</v>
      </c>
      <c r="F115" s="136">
        <f>Rates!G111</f>
        <v>57</v>
      </c>
      <c r="G115" s="136">
        <f>Rates!H111</f>
        <v>45</v>
      </c>
    </row>
    <row r="116" spans="2:7" x14ac:dyDescent="0.3">
      <c r="B116" s="98" t="str">
        <f>Rates!C112</f>
        <v>Madagascar</v>
      </c>
      <c r="C116" s="98" t="str">
        <f>Rates!D112</f>
        <v>Partner Countries</v>
      </c>
      <c r="D116" s="136">
        <f>Rates!E112</f>
        <v>47</v>
      </c>
      <c r="E116" s="136">
        <f>Rates!F112</f>
        <v>33</v>
      </c>
      <c r="F116" s="136">
        <f>Rates!G112</f>
        <v>22</v>
      </c>
      <c r="G116" s="136">
        <f>Rates!H112</f>
        <v>17</v>
      </c>
    </row>
    <row r="117" spans="2:7" x14ac:dyDescent="0.3">
      <c r="B117" s="98" t="str">
        <f>Rates!C113</f>
        <v>Malawi</v>
      </c>
      <c r="C117" s="98" t="str">
        <f>Rates!D113</f>
        <v>Partner Countries</v>
      </c>
      <c r="D117" s="136">
        <f>Rates!E113</f>
        <v>47</v>
      </c>
      <c r="E117" s="136">
        <f>Rates!F113</f>
        <v>33</v>
      </c>
      <c r="F117" s="136">
        <f>Rates!G113</f>
        <v>22</v>
      </c>
      <c r="G117" s="136">
        <f>Rates!H113</f>
        <v>17</v>
      </c>
    </row>
    <row r="118" spans="2:7" x14ac:dyDescent="0.3">
      <c r="B118" s="98" t="str">
        <f>Rates!C114</f>
        <v>Malaysia</v>
      </c>
      <c r="C118" s="98" t="str">
        <f>Rates!D114</f>
        <v>Partner Countries</v>
      </c>
      <c r="D118" s="136">
        <f>Rates!E114</f>
        <v>47</v>
      </c>
      <c r="E118" s="136">
        <f>Rates!F114</f>
        <v>33</v>
      </c>
      <c r="F118" s="136">
        <f>Rates!G114</f>
        <v>22</v>
      </c>
      <c r="G118" s="136">
        <f>Rates!H114</f>
        <v>17</v>
      </c>
    </row>
    <row r="119" spans="2:7" x14ac:dyDescent="0.3">
      <c r="B119" s="98" t="str">
        <f>Rates!C115</f>
        <v>Maldives</v>
      </c>
      <c r="C119" s="98" t="str">
        <f>Rates!D115</f>
        <v>Partner Countries</v>
      </c>
      <c r="D119" s="136">
        <f>Rates!E115</f>
        <v>47</v>
      </c>
      <c r="E119" s="136">
        <f>Rates!F115</f>
        <v>33</v>
      </c>
      <c r="F119" s="136">
        <f>Rates!G115</f>
        <v>22</v>
      </c>
      <c r="G119" s="136">
        <f>Rates!H115</f>
        <v>17</v>
      </c>
    </row>
    <row r="120" spans="2:7" x14ac:dyDescent="0.3">
      <c r="B120" s="98" t="str">
        <f>Rates!C116</f>
        <v>Mali</v>
      </c>
      <c r="C120" s="98" t="str">
        <f>Rates!D116</f>
        <v>Partner Countries</v>
      </c>
      <c r="D120" s="136">
        <f>Rates!E116</f>
        <v>47</v>
      </c>
      <c r="E120" s="136">
        <f>Rates!F116</f>
        <v>33</v>
      </c>
      <c r="F120" s="136">
        <f>Rates!G116</f>
        <v>22</v>
      </c>
      <c r="G120" s="136">
        <f>Rates!H116</f>
        <v>17</v>
      </c>
    </row>
    <row r="121" spans="2:7" x14ac:dyDescent="0.3">
      <c r="B121" s="98" t="str">
        <f>Rates!C117</f>
        <v>Marshall Islands</v>
      </c>
      <c r="C121" s="98" t="str">
        <f>Rates!D117</f>
        <v>Partner Countries</v>
      </c>
      <c r="D121" s="136">
        <f>Rates!E117</f>
        <v>47</v>
      </c>
      <c r="E121" s="136">
        <f>Rates!F117</f>
        <v>33</v>
      </c>
      <c r="F121" s="136">
        <f>Rates!G117</f>
        <v>22</v>
      </c>
      <c r="G121" s="136">
        <f>Rates!H117</f>
        <v>17</v>
      </c>
    </row>
    <row r="122" spans="2:7" x14ac:dyDescent="0.3">
      <c r="B122" s="98" t="str">
        <f>Rates!C118</f>
        <v>Mauritania</v>
      </c>
      <c r="C122" s="98" t="str">
        <f>Rates!D118</f>
        <v>Partner Countries</v>
      </c>
      <c r="D122" s="136">
        <f>Rates!E118</f>
        <v>47</v>
      </c>
      <c r="E122" s="136">
        <f>Rates!F118</f>
        <v>33</v>
      </c>
      <c r="F122" s="136">
        <f>Rates!G118</f>
        <v>22</v>
      </c>
      <c r="G122" s="136">
        <f>Rates!H118</f>
        <v>17</v>
      </c>
    </row>
    <row r="123" spans="2:7" x14ac:dyDescent="0.3">
      <c r="B123" s="98" t="str">
        <f>Rates!C119</f>
        <v>Mauritius</v>
      </c>
      <c r="C123" s="98" t="str">
        <f>Rates!D119</f>
        <v>Partner Countries</v>
      </c>
      <c r="D123" s="136">
        <f>Rates!E119</f>
        <v>47</v>
      </c>
      <c r="E123" s="136">
        <f>Rates!F119</f>
        <v>33</v>
      </c>
      <c r="F123" s="136">
        <f>Rates!G119</f>
        <v>22</v>
      </c>
      <c r="G123" s="136">
        <f>Rates!H119</f>
        <v>17</v>
      </c>
    </row>
    <row r="124" spans="2:7" x14ac:dyDescent="0.3">
      <c r="B124" s="98" t="str">
        <f>Rates!C120</f>
        <v>Mexico</v>
      </c>
      <c r="C124" s="98" t="str">
        <f>Rates!D120</f>
        <v>Partner Countries</v>
      </c>
      <c r="D124" s="136">
        <f>Rates!E120</f>
        <v>108</v>
      </c>
      <c r="E124" s="136">
        <f>Rates!F120</f>
        <v>80</v>
      </c>
      <c r="F124" s="136">
        <f>Rates!G120</f>
        <v>57</v>
      </c>
      <c r="G124" s="136">
        <f>Rates!H120</f>
        <v>45</v>
      </c>
    </row>
    <row r="125" spans="2:7" x14ac:dyDescent="0.3">
      <c r="B125" s="98" t="str">
        <f>Rates!C121</f>
        <v>Micronesia - Federated States of-</v>
      </c>
      <c r="C125" s="98" t="str">
        <f>Rates!D121</f>
        <v>Partner Countries</v>
      </c>
      <c r="D125" s="136">
        <f>Rates!E121</f>
        <v>77</v>
      </c>
      <c r="E125" s="136">
        <f>Rates!F121</f>
        <v>57</v>
      </c>
      <c r="F125" s="136">
        <f>Rates!G121</f>
        <v>40</v>
      </c>
      <c r="G125" s="136">
        <f>Rates!H121</f>
        <v>32</v>
      </c>
    </row>
    <row r="126" spans="2:7" x14ac:dyDescent="0.3">
      <c r="B126" s="98" t="str">
        <f>Rates!C122</f>
        <v>Moldova</v>
      </c>
      <c r="C126" s="98" t="str">
        <f>Rates!D122</f>
        <v>Partner Countries</v>
      </c>
      <c r="D126" s="136">
        <f>Rates!E122</f>
        <v>47</v>
      </c>
      <c r="E126" s="136">
        <f>Rates!F122</f>
        <v>33</v>
      </c>
      <c r="F126" s="136">
        <f>Rates!G122</f>
        <v>22</v>
      </c>
      <c r="G126" s="136">
        <f>Rates!H122</f>
        <v>17</v>
      </c>
    </row>
    <row r="127" spans="2:7" x14ac:dyDescent="0.3">
      <c r="B127" s="98" t="str">
        <f>Rates!C123</f>
        <v>Mongolia</v>
      </c>
      <c r="C127" s="98" t="str">
        <f>Rates!D123</f>
        <v>Partner Countries</v>
      </c>
      <c r="D127" s="136">
        <f>Rates!E123</f>
        <v>47</v>
      </c>
      <c r="E127" s="136">
        <f>Rates!F123</f>
        <v>33</v>
      </c>
      <c r="F127" s="136">
        <f>Rates!G123</f>
        <v>22</v>
      </c>
      <c r="G127" s="136">
        <f>Rates!H123</f>
        <v>17</v>
      </c>
    </row>
    <row r="128" spans="2:7" x14ac:dyDescent="0.3">
      <c r="B128" s="98" t="str">
        <f>Rates!C124</f>
        <v>Montenegro</v>
      </c>
      <c r="C128" s="98" t="str">
        <f>Rates!D124</f>
        <v>Partner Countries</v>
      </c>
      <c r="D128" s="136">
        <f>Rates!E124</f>
        <v>108</v>
      </c>
      <c r="E128" s="136">
        <f>Rates!F124</f>
        <v>80</v>
      </c>
      <c r="F128" s="136">
        <f>Rates!G124</f>
        <v>57</v>
      </c>
      <c r="G128" s="136">
        <f>Rates!H124</f>
        <v>45</v>
      </c>
    </row>
    <row r="129" spans="2:7" x14ac:dyDescent="0.3">
      <c r="B129" s="98" t="str">
        <f>Rates!C125</f>
        <v>Morocco</v>
      </c>
      <c r="C129" s="98" t="str">
        <f>Rates!D125</f>
        <v>Partner Countries</v>
      </c>
      <c r="D129" s="136">
        <f>Rates!E125</f>
        <v>77</v>
      </c>
      <c r="E129" s="136">
        <f>Rates!F125</f>
        <v>57</v>
      </c>
      <c r="F129" s="136">
        <f>Rates!G125</f>
        <v>40</v>
      </c>
      <c r="G129" s="136">
        <f>Rates!H125</f>
        <v>32</v>
      </c>
    </row>
    <row r="130" spans="2:7" x14ac:dyDescent="0.3">
      <c r="B130" s="98" t="str">
        <f>Rates!C126</f>
        <v>Mozambique</v>
      </c>
      <c r="C130" s="98" t="str">
        <f>Rates!D126</f>
        <v>Partner Countries</v>
      </c>
      <c r="D130" s="136">
        <f>Rates!E126</f>
        <v>77</v>
      </c>
      <c r="E130" s="136">
        <f>Rates!F126</f>
        <v>57</v>
      </c>
      <c r="F130" s="136">
        <f>Rates!G126</f>
        <v>40</v>
      </c>
      <c r="G130" s="136">
        <f>Rates!H126</f>
        <v>32</v>
      </c>
    </row>
    <row r="131" spans="2:7" x14ac:dyDescent="0.3">
      <c r="B131" s="98" t="str">
        <f>Rates!C127</f>
        <v>Myanmar</v>
      </c>
      <c r="C131" s="98" t="str">
        <f>Rates!D127</f>
        <v>Partner Countries</v>
      </c>
      <c r="D131" s="136">
        <f>Rates!E127</f>
        <v>47</v>
      </c>
      <c r="E131" s="136">
        <f>Rates!F127</f>
        <v>33</v>
      </c>
      <c r="F131" s="136">
        <f>Rates!G127</f>
        <v>22</v>
      </c>
      <c r="G131" s="136">
        <f>Rates!H127</f>
        <v>17</v>
      </c>
    </row>
    <row r="132" spans="2:7" x14ac:dyDescent="0.3">
      <c r="B132" s="98" t="str">
        <f>Rates!C128</f>
        <v>Namibia</v>
      </c>
      <c r="C132" s="98" t="str">
        <f>Rates!D128</f>
        <v>Partner Countries</v>
      </c>
      <c r="D132" s="136">
        <f>Rates!E128</f>
        <v>77</v>
      </c>
      <c r="E132" s="136">
        <f>Rates!F128</f>
        <v>57</v>
      </c>
      <c r="F132" s="136">
        <f>Rates!G128</f>
        <v>40</v>
      </c>
      <c r="G132" s="136">
        <f>Rates!H128</f>
        <v>32</v>
      </c>
    </row>
    <row r="133" spans="2:7" x14ac:dyDescent="0.3">
      <c r="B133" s="98" t="str">
        <f>Rates!C129</f>
        <v>Nauru</v>
      </c>
      <c r="C133" s="98" t="str">
        <f>Rates!D129</f>
        <v>Partner Countries</v>
      </c>
      <c r="D133" s="136">
        <f>Rates!E129</f>
        <v>47</v>
      </c>
      <c r="E133" s="136">
        <f>Rates!F129</f>
        <v>33</v>
      </c>
      <c r="F133" s="136">
        <f>Rates!G129</f>
        <v>22</v>
      </c>
      <c r="G133" s="136">
        <f>Rates!H129</f>
        <v>17</v>
      </c>
    </row>
    <row r="134" spans="2:7" x14ac:dyDescent="0.3">
      <c r="B134" s="98" t="str">
        <f>Rates!C130</f>
        <v>Nepal</v>
      </c>
      <c r="C134" s="98" t="str">
        <f>Rates!D130</f>
        <v>Partner Countries</v>
      </c>
      <c r="D134" s="136">
        <f>Rates!E130</f>
        <v>47</v>
      </c>
      <c r="E134" s="136">
        <f>Rates!F130</f>
        <v>33</v>
      </c>
      <c r="F134" s="136">
        <f>Rates!G130</f>
        <v>22</v>
      </c>
      <c r="G134" s="136">
        <f>Rates!H130</f>
        <v>17</v>
      </c>
    </row>
    <row r="135" spans="2:7" x14ac:dyDescent="0.3">
      <c r="B135" s="98" t="str">
        <f>Rates!C131</f>
        <v>Nicaragua</v>
      </c>
      <c r="C135" s="98" t="str">
        <f>Rates!D131</f>
        <v>Partner Countries</v>
      </c>
      <c r="D135" s="136">
        <f>Rates!E131</f>
        <v>47</v>
      </c>
      <c r="E135" s="136">
        <f>Rates!F131</f>
        <v>33</v>
      </c>
      <c r="F135" s="136">
        <f>Rates!G131</f>
        <v>22</v>
      </c>
      <c r="G135" s="136">
        <f>Rates!H131</f>
        <v>17</v>
      </c>
    </row>
    <row r="136" spans="2:7" x14ac:dyDescent="0.3">
      <c r="B136" s="98" t="str">
        <f>Rates!C132</f>
        <v>Niger</v>
      </c>
      <c r="C136" s="98" t="str">
        <f>Rates!D132</f>
        <v>Partner Countries</v>
      </c>
      <c r="D136" s="136">
        <f>Rates!E132</f>
        <v>47</v>
      </c>
      <c r="E136" s="136">
        <f>Rates!F132</f>
        <v>33</v>
      </c>
      <c r="F136" s="136">
        <f>Rates!G132</f>
        <v>22</v>
      </c>
      <c r="G136" s="136">
        <f>Rates!H132</f>
        <v>17</v>
      </c>
    </row>
    <row r="137" spans="2:7" x14ac:dyDescent="0.3">
      <c r="B137" s="98" t="str">
        <f>Rates!C133</f>
        <v>Nigeria</v>
      </c>
      <c r="C137" s="98" t="str">
        <f>Rates!D133</f>
        <v>Partner Countries</v>
      </c>
      <c r="D137" s="136">
        <f>Rates!E133</f>
        <v>108</v>
      </c>
      <c r="E137" s="136">
        <f>Rates!F133</f>
        <v>80</v>
      </c>
      <c r="F137" s="136">
        <f>Rates!G133</f>
        <v>57</v>
      </c>
      <c r="G137" s="136">
        <f>Rates!H133</f>
        <v>45</v>
      </c>
    </row>
    <row r="138" spans="2:7" x14ac:dyDescent="0.3">
      <c r="B138" s="98" t="str">
        <f>Rates!C134</f>
        <v>Niue</v>
      </c>
      <c r="C138" s="98" t="str">
        <f>Rates!D134</f>
        <v>Partner Countries</v>
      </c>
      <c r="D138" s="136">
        <f>Rates!E134</f>
        <v>47</v>
      </c>
      <c r="E138" s="136">
        <f>Rates!F134</f>
        <v>33</v>
      </c>
      <c r="F138" s="136">
        <f>Rates!G134</f>
        <v>22</v>
      </c>
      <c r="G138" s="136">
        <f>Rates!H134</f>
        <v>17</v>
      </c>
    </row>
    <row r="139" spans="2:7" x14ac:dyDescent="0.3">
      <c r="B139" s="98" t="str">
        <f>Rates!C135</f>
        <v>Pakistan</v>
      </c>
      <c r="C139" s="98" t="str">
        <f>Rates!D135</f>
        <v>Partner Countries</v>
      </c>
      <c r="D139" s="136">
        <f>Rates!E135</f>
        <v>47</v>
      </c>
      <c r="E139" s="136">
        <f>Rates!F135</f>
        <v>33</v>
      </c>
      <c r="F139" s="136">
        <f>Rates!G135</f>
        <v>22</v>
      </c>
      <c r="G139" s="136">
        <f>Rates!H135</f>
        <v>17</v>
      </c>
    </row>
    <row r="140" spans="2:7" x14ac:dyDescent="0.3">
      <c r="B140" s="98" t="str">
        <f>Rates!C136</f>
        <v>Palau</v>
      </c>
      <c r="C140" s="98" t="str">
        <f>Rates!D136</f>
        <v>Partner Countries</v>
      </c>
      <c r="D140" s="136">
        <f>Rates!E136</f>
        <v>47</v>
      </c>
      <c r="E140" s="136">
        <f>Rates!F136</f>
        <v>33</v>
      </c>
      <c r="F140" s="136">
        <f>Rates!G136</f>
        <v>22</v>
      </c>
      <c r="G140" s="136">
        <f>Rates!H136</f>
        <v>17</v>
      </c>
    </row>
    <row r="141" spans="2:7" x14ac:dyDescent="0.3">
      <c r="B141" s="98" t="str">
        <f>Rates!C137</f>
        <v>Palestine</v>
      </c>
      <c r="C141" s="98" t="str">
        <f>Rates!D137</f>
        <v>Partner Countries</v>
      </c>
      <c r="D141" s="136">
        <f>Rates!E137</f>
        <v>77</v>
      </c>
      <c r="E141" s="136">
        <f>Rates!F137</f>
        <v>57</v>
      </c>
      <c r="F141" s="136">
        <f>Rates!G137</f>
        <v>40</v>
      </c>
      <c r="G141" s="136">
        <f>Rates!H137</f>
        <v>32</v>
      </c>
    </row>
    <row r="142" spans="2:7" x14ac:dyDescent="0.3">
      <c r="B142" s="98" t="str">
        <f>Rates!C138</f>
        <v>Panama</v>
      </c>
      <c r="C142" s="98" t="str">
        <f>Rates!D138</f>
        <v>Partner Countries</v>
      </c>
      <c r="D142" s="136">
        <f>Rates!E138</f>
        <v>77</v>
      </c>
      <c r="E142" s="136">
        <f>Rates!F138</f>
        <v>57</v>
      </c>
      <c r="F142" s="136">
        <f>Rates!G138</f>
        <v>40</v>
      </c>
      <c r="G142" s="136">
        <f>Rates!H138</f>
        <v>32</v>
      </c>
    </row>
    <row r="143" spans="2:7" x14ac:dyDescent="0.3">
      <c r="B143" s="98" t="str">
        <f>Rates!C139</f>
        <v>Papua New Guinea</v>
      </c>
      <c r="C143" s="98" t="str">
        <f>Rates!D139</f>
        <v>Partner Countries</v>
      </c>
      <c r="D143" s="136">
        <f>Rates!E139</f>
        <v>77</v>
      </c>
      <c r="E143" s="136">
        <f>Rates!F139</f>
        <v>57</v>
      </c>
      <c r="F143" s="136">
        <f>Rates!G139</f>
        <v>40</v>
      </c>
      <c r="G143" s="136">
        <f>Rates!H139</f>
        <v>32</v>
      </c>
    </row>
    <row r="144" spans="2:7" x14ac:dyDescent="0.3">
      <c r="B144" s="98" t="str">
        <f>Rates!C140</f>
        <v>Paraguay</v>
      </c>
      <c r="C144" s="98" t="str">
        <f>Rates!D140</f>
        <v>Partner Countries</v>
      </c>
      <c r="D144" s="136">
        <f>Rates!E140</f>
        <v>77</v>
      </c>
      <c r="E144" s="136">
        <f>Rates!F140</f>
        <v>57</v>
      </c>
      <c r="F144" s="136">
        <f>Rates!G140</f>
        <v>40</v>
      </c>
      <c r="G144" s="136">
        <f>Rates!H140</f>
        <v>32</v>
      </c>
    </row>
    <row r="145" spans="2:7" x14ac:dyDescent="0.3">
      <c r="B145" s="98" t="str">
        <f>Rates!C141</f>
        <v>Peru</v>
      </c>
      <c r="C145" s="98" t="str">
        <f>Rates!D141</f>
        <v>Partner Countries</v>
      </c>
      <c r="D145" s="136">
        <f>Rates!E141</f>
        <v>108</v>
      </c>
      <c r="E145" s="136">
        <f>Rates!F141</f>
        <v>80</v>
      </c>
      <c r="F145" s="136">
        <f>Rates!G141</f>
        <v>57</v>
      </c>
      <c r="G145" s="136">
        <f>Rates!H141</f>
        <v>45</v>
      </c>
    </row>
    <row r="146" spans="2:7" x14ac:dyDescent="0.3">
      <c r="B146" s="98" t="str">
        <f>Rates!C142</f>
        <v>Philippines</v>
      </c>
      <c r="C146" s="98" t="str">
        <f>Rates!D142</f>
        <v>Partner Countries</v>
      </c>
      <c r="D146" s="136">
        <f>Rates!E142</f>
        <v>47</v>
      </c>
      <c r="E146" s="136">
        <f>Rates!F142</f>
        <v>33</v>
      </c>
      <c r="F146" s="136">
        <f>Rates!G142</f>
        <v>22</v>
      </c>
      <c r="G146" s="136">
        <f>Rates!H142</f>
        <v>17</v>
      </c>
    </row>
    <row r="147" spans="2:7" x14ac:dyDescent="0.3">
      <c r="B147" s="98" t="str">
        <f>Rates!C143</f>
        <v>Russia</v>
      </c>
      <c r="C147" s="98" t="str">
        <f>Rates!D143</f>
        <v>Partner Countries</v>
      </c>
      <c r="D147" s="136">
        <f>Rates!E143</f>
        <v>77</v>
      </c>
      <c r="E147" s="136">
        <f>Rates!F143</f>
        <v>57</v>
      </c>
      <c r="F147" s="136">
        <f>Rates!G143</f>
        <v>40</v>
      </c>
      <c r="G147" s="136">
        <f>Rates!H143</f>
        <v>32</v>
      </c>
    </row>
    <row r="148" spans="2:7" x14ac:dyDescent="0.3">
      <c r="B148" s="98" t="str">
        <f>Rates!C144</f>
        <v>Rwanda</v>
      </c>
      <c r="C148" s="98" t="str">
        <f>Rates!D144</f>
        <v>Partner Countries</v>
      </c>
      <c r="D148" s="136">
        <f>Rates!E144</f>
        <v>47</v>
      </c>
      <c r="E148" s="136">
        <f>Rates!F144</f>
        <v>33</v>
      </c>
      <c r="F148" s="136">
        <f>Rates!G144</f>
        <v>22</v>
      </c>
      <c r="G148" s="136">
        <f>Rates!H144</f>
        <v>17</v>
      </c>
    </row>
    <row r="149" spans="2:7" x14ac:dyDescent="0.3">
      <c r="B149" s="98" t="str">
        <f>Rates!C145</f>
        <v>Saint Kitts and Nevis</v>
      </c>
      <c r="C149" s="98" t="str">
        <f>Rates!D145</f>
        <v>Partner Countries</v>
      </c>
      <c r="D149" s="136">
        <f>Rates!E145</f>
        <v>108</v>
      </c>
      <c r="E149" s="136">
        <f>Rates!F145</f>
        <v>80</v>
      </c>
      <c r="F149" s="136">
        <f>Rates!G145</f>
        <v>57</v>
      </c>
      <c r="G149" s="136">
        <f>Rates!H145</f>
        <v>45</v>
      </c>
    </row>
    <row r="150" spans="2:7" x14ac:dyDescent="0.3">
      <c r="B150" s="98" t="str">
        <f>Rates!C146</f>
        <v>Saint Lucia</v>
      </c>
      <c r="C150" s="98" t="str">
        <f>Rates!D146</f>
        <v>Partner Countries</v>
      </c>
      <c r="D150" s="136">
        <f>Rates!E146</f>
        <v>108</v>
      </c>
      <c r="E150" s="136">
        <f>Rates!F146</f>
        <v>80</v>
      </c>
      <c r="F150" s="136">
        <f>Rates!G146</f>
        <v>57</v>
      </c>
      <c r="G150" s="136">
        <f>Rates!H146</f>
        <v>45</v>
      </c>
    </row>
    <row r="151" spans="2:7" x14ac:dyDescent="0.3">
      <c r="B151" s="98" t="str">
        <f>Rates!C147</f>
        <v>Saint Vincent and the Grenadines</v>
      </c>
      <c r="C151" s="98" t="str">
        <f>Rates!D147</f>
        <v>Partner Countries</v>
      </c>
      <c r="D151" s="136">
        <f>Rates!E147</f>
        <v>108</v>
      </c>
      <c r="E151" s="136">
        <f>Rates!F147</f>
        <v>80</v>
      </c>
      <c r="F151" s="136">
        <f>Rates!G147</f>
        <v>57</v>
      </c>
      <c r="G151" s="136">
        <f>Rates!H147</f>
        <v>45</v>
      </c>
    </row>
    <row r="152" spans="2:7" x14ac:dyDescent="0.3">
      <c r="B152" s="98" t="str">
        <f>Rates!C148</f>
        <v>Samoa</v>
      </c>
      <c r="C152" s="98" t="str">
        <f>Rates!D148</f>
        <v>Partner Countries</v>
      </c>
      <c r="D152" s="136">
        <f>Rates!E148</f>
        <v>47</v>
      </c>
      <c r="E152" s="136">
        <f>Rates!F148</f>
        <v>33</v>
      </c>
      <c r="F152" s="136">
        <f>Rates!G148</f>
        <v>22</v>
      </c>
      <c r="G152" s="136">
        <f>Rates!H148</f>
        <v>17</v>
      </c>
    </row>
    <row r="153" spans="2:7" x14ac:dyDescent="0.3">
      <c r="B153" s="98" t="str">
        <f>Rates!C149</f>
        <v>Sao Tome and Principe</v>
      </c>
      <c r="C153" s="98" t="str">
        <f>Rates!D149</f>
        <v>Partner Countries</v>
      </c>
      <c r="D153" s="136">
        <f>Rates!E149</f>
        <v>108</v>
      </c>
      <c r="E153" s="136">
        <f>Rates!F149</f>
        <v>80</v>
      </c>
      <c r="F153" s="136">
        <f>Rates!G149</f>
        <v>57</v>
      </c>
      <c r="G153" s="136">
        <f>Rates!H149</f>
        <v>45</v>
      </c>
    </row>
    <row r="154" spans="2:7" x14ac:dyDescent="0.3">
      <c r="B154" s="98" t="str">
        <f>Rates!C150</f>
        <v>Senegal</v>
      </c>
      <c r="C154" s="98" t="str">
        <f>Rates!D150</f>
        <v>Partner Countries</v>
      </c>
      <c r="D154" s="136">
        <f>Rates!E150</f>
        <v>77</v>
      </c>
      <c r="E154" s="136">
        <f>Rates!F150</f>
        <v>57</v>
      </c>
      <c r="F154" s="136">
        <f>Rates!G150</f>
        <v>40</v>
      </c>
      <c r="G154" s="136">
        <f>Rates!H150</f>
        <v>32</v>
      </c>
    </row>
    <row r="155" spans="2:7" x14ac:dyDescent="0.3">
      <c r="B155" s="98" t="str">
        <f>Rates!C151</f>
        <v>Serbia</v>
      </c>
      <c r="C155" s="98" t="str">
        <f>Rates!D151</f>
        <v>Partner Countries</v>
      </c>
      <c r="D155" s="136">
        <f>Rates!E151</f>
        <v>108</v>
      </c>
      <c r="E155" s="136">
        <f>Rates!F151</f>
        <v>80</v>
      </c>
      <c r="F155" s="136">
        <f>Rates!G151</f>
        <v>57</v>
      </c>
      <c r="G155" s="136">
        <f>Rates!H151</f>
        <v>45</v>
      </c>
    </row>
    <row r="156" spans="2:7" x14ac:dyDescent="0.3">
      <c r="B156" s="98" t="str">
        <f>Rates!C152</f>
        <v>Seychelles</v>
      </c>
      <c r="C156" s="98" t="str">
        <f>Rates!D152</f>
        <v>Partner Countries</v>
      </c>
      <c r="D156" s="136">
        <f>Rates!E152</f>
        <v>108</v>
      </c>
      <c r="E156" s="136">
        <f>Rates!F152</f>
        <v>80</v>
      </c>
      <c r="F156" s="136">
        <f>Rates!G152</f>
        <v>57</v>
      </c>
      <c r="G156" s="136">
        <f>Rates!H152</f>
        <v>45</v>
      </c>
    </row>
    <row r="157" spans="2:7" x14ac:dyDescent="0.3">
      <c r="B157" s="98" t="str">
        <f>Rates!C153</f>
        <v>Sierra Leone</v>
      </c>
      <c r="C157" s="98" t="str">
        <f>Rates!D153</f>
        <v>Partner Countries</v>
      </c>
      <c r="D157" s="136">
        <f>Rates!E153</f>
        <v>47</v>
      </c>
      <c r="E157" s="136">
        <f>Rates!F153</f>
        <v>33</v>
      </c>
      <c r="F157" s="136">
        <f>Rates!G153</f>
        <v>22</v>
      </c>
      <c r="G157" s="136">
        <f>Rates!H153</f>
        <v>17</v>
      </c>
    </row>
    <row r="158" spans="2:7" x14ac:dyDescent="0.3">
      <c r="B158" s="98" t="str">
        <f>Rates!C154</f>
        <v>Solomon Islands</v>
      </c>
      <c r="C158" s="98" t="str">
        <f>Rates!D154</f>
        <v>Partner Countries</v>
      </c>
      <c r="D158" s="136">
        <f>Rates!E154</f>
        <v>47</v>
      </c>
      <c r="E158" s="136">
        <f>Rates!F154</f>
        <v>33</v>
      </c>
      <c r="F158" s="136">
        <f>Rates!G154</f>
        <v>22</v>
      </c>
      <c r="G158" s="136">
        <f>Rates!H154</f>
        <v>17</v>
      </c>
    </row>
    <row r="159" spans="2:7" x14ac:dyDescent="0.3">
      <c r="B159" s="98" t="str">
        <f>Rates!C155</f>
        <v>Somalia</v>
      </c>
      <c r="C159" s="98" t="str">
        <f>Rates!D155</f>
        <v>Partner Countries</v>
      </c>
      <c r="D159" s="136">
        <f>Rates!E155</f>
        <v>47</v>
      </c>
      <c r="E159" s="136">
        <f>Rates!F155</f>
        <v>33</v>
      </c>
      <c r="F159" s="136">
        <f>Rates!G155</f>
        <v>22</v>
      </c>
      <c r="G159" s="136">
        <f>Rates!H155</f>
        <v>17</v>
      </c>
    </row>
    <row r="160" spans="2:7" x14ac:dyDescent="0.3">
      <c r="B160" s="98" t="str">
        <f>Rates!C156</f>
        <v>South Africa</v>
      </c>
      <c r="C160" s="98" t="str">
        <f>Rates!D156</f>
        <v>Partner Countries</v>
      </c>
      <c r="D160" s="136">
        <f>Rates!E156</f>
        <v>77</v>
      </c>
      <c r="E160" s="136">
        <f>Rates!F156</f>
        <v>57</v>
      </c>
      <c r="F160" s="136">
        <f>Rates!G156</f>
        <v>40</v>
      </c>
      <c r="G160" s="136">
        <f>Rates!H156</f>
        <v>32</v>
      </c>
    </row>
    <row r="161" spans="2:7" x14ac:dyDescent="0.3">
      <c r="B161" s="98" t="str">
        <f>Rates!C157</f>
        <v>South Sudan</v>
      </c>
      <c r="C161" s="98" t="str">
        <f>Rates!D157</f>
        <v>Partner Countries</v>
      </c>
      <c r="D161" s="136">
        <f>Rates!E157</f>
        <v>47</v>
      </c>
      <c r="E161" s="136">
        <f>Rates!F157</f>
        <v>33</v>
      </c>
      <c r="F161" s="136">
        <f>Rates!G157</f>
        <v>22</v>
      </c>
      <c r="G161" s="136">
        <f>Rates!H157</f>
        <v>17</v>
      </c>
    </row>
    <row r="162" spans="2:7" x14ac:dyDescent="0.3">
      <c r="B162" s="98" t="str">
        <f>Rates!C158</f>
        <v>Sri Lanka</v>
      </c>
      <c r="C162" s="98" t="str">
        <f>Rates!D158</f>
        <v>Partner Countries</v>
      </c>
      <c r="D162" s="136">
        <f>Rates!E158</f>
        <v>47</v>
      </c>
      <c r="E162" s="136">
        <f>Rates!F158</f>
        <v>33</v>
      </c>
      <c r="F162" s="136">
        <f>Rates!G158</f>
        <v>22</v>
      </c>
      <c r="G162" s="136">
        <f>Rates!H158</f>
        <v>17</v>
      </c>
    </row>
    <row r="163" spans="2:7" x14ac:dyDescent="0.3">
      <c r="B163" s="98" t="str">
        <f>Rates!C159</f>
        <v>Sudan</v>
      </c>
      <c r="C163" s="98" t="str">
        <f>Rates!D159</f>
        <v>Partner Countries</v>
      </c>
      <c r="D163" s="136">
        <f>Rates!E159</f>
        <v>47</v>
      </c>
      <c r="E163" s="136">
        <f>Rates!F159</f>
        <v>33</v>
      </c>
      <c r="F163" s="136">
        <f>Rates!G159</f>
        <v>22</v>
      </c>
      <c r="G163" s="136">
        <f>Rates!H159</f>
        <v>17</v>
      </c>
    </row>
    <row r="164" spans="2:7" x14ac:dyDescent="0.3">
      <c r="B164" s="98" t="str">
        <f>Rates!C160</f>
        <v>Suriname</v>
      </c>
      <c r="C164" s="98" t="str">
        <f>Rates!D160</f>
        <v>Partner Countries</v>
      </c>
      <c r="D164" s="136">
        <f>Rates!E160</f>
        <v>77</v>
      </c>
      <c r="E164" s="136">
        <f>Rates!F160</f>
        <v>57</v>
      </c>
      <c r="F164" s="136">
        <f>Rates!G160</f>
        <v>40</v>
      </c>
      <c r="G164" s="136">
        <f>Rates!H160</f>
        <v>32</v>
      </c>
    </row>
    <row r="165" spans="2:7" x14ac:dyDescent="0.3">
      <c r="B165" s="98" t="str">
        <f>Rates!C161</f>
        <v>Swaziland</v>
      </c>
      <c r="C165" s="98" t="str">
        <f>Rates!D161</f>
        <v>Partner Countries</v>
      </c>
      <c r="D165" s="136">
        <f>Rates!E161</f>
        <v>77</v>
      </c>
      <c r="E165" s="136">
        <f>Rates!F161</f>
        <v>57</v>
      </c>
      <c r="F165" s="136">
        <f>Rates!G161</f>
        <v>40</v>
      </c>
      <c r="G165" s="136">
        <f>Rates!H161</f>
        <v>32</v>
      </c>
    </row>
    <row r="166" spans="2:7" x14ac:dyDescent="0.3">
      <c r="B166" s="98" t="str">
        <f>Rates!C162</f>
        <v>Syria</v>
      </c>
      <c r="C166" s="98" t="str">
        <f>Rates!D162</f>
        <v>Partner Countries</v>
      </c>
      <c r="D166" s="136">
        <f>Rates!E162</f>
        <v>47</v>
      </c>
      <c r="E166" s="136">
        <f>Rates!F162</f>
        <v>33</v>
      </c>
      <c r="F166" s="136">
        <f>Rates!G162</f>
        <v>22</v>
      </c>
      <c r="G166" s="136">
        <f>Rates!H162</f>
        <v>17</v>
      </c>
    </row>
    <row r="167" spans="2:7" x14ac:dyDescent="0.3">
      <c r="B167" s="98" t="str">
        <f>Rates!C163</f>
        <v>Tajikistan</v>
      </c>
      <c r="C167" s="98" t="str">
        <f>Rates!D163</f>
        <v>Partner Countries</v>
      </c>
      <c r="D167" s="136">
        <f>Rates!E163</f>
        <v>47</v>
      </c>
      <c r="E167" s="136">
        <f>Rates!F163</f>
        <v>33</v>
      </c>
      <c r="F167" s="136">
        <f>Rates!G163</f>
        <v>22</v>
      </c>
      <c r="G167" s="136">
        <f>Rates!H163</f>
        <v>17</v>
      </c>
    </row>
    <row r="168" spans="2:7" x14ac:dyDescent="0.3">
      <c r="B168" s="98" t="str">
        <f>Rates!C164</f>
        <v>Tanzania</v>
      </c>
      <c r="C168" s="98" t="str">
        <f>Rates!D164</f>
        <v>Partner Countries</v>
      </c>
      <c r="D168" s="136">
        <f>Rates!E164</f>
        <v>47</v>
      </c>
      <c r="E168" s="136">
        <f>Rates!F164</f>
        <v>33</v>
      </c>
      <c r="F168" s="136">
        <f>Rates!G164</f>
        <v>22</v>
      </c>
      <c r="G168" s="136">
        <f>Rates!H164</f>
        <v>17</v>
      </c>
    </row>
    <row r="169" spans="2:7" x14ac:dyDescent="0.3">
      <c r="B169" s="98" t="str">
        <f>Rates!C165</f>
        <v>Thailand</v>
      </c>
      <c r="C169" s="98" t="str">
        <f>Rates!D165</f>
        <v>Partner Countries</v>
      </c>
      <c r="D169" s="136">
        <f>Rates!E165</f>
        <v>108</v>
      </c>
      <c r="E169" s="136">
        <f>Rates!F165</f>
        <v>80</v>
      </c>
      <c r="F169" s="136">
        <f>Rates!G165</f>
        <v>57</v>
      </c>
      <c r="G169" s="136">
        <f>Rates!H165</f>
        <v>45</v>
      </c>
    </row>
    <row r="170" spans="2:7" x14ac:dyDescent="0.3">
      <c r="B170" s="98" t="str">
        <f>Rates!C166</f>
        <v>Timor Leste - Republic of-</v>
      </c>
      <c r="C170" s="98" t="str">
        <f>Rates!D166</f>
        <v>Partner Countries</v>
      </c>
      <c r="D170" s="136">
        <f>Rates!E166</f>
        <v>47</v>
      </c>
      <c r="E170" s="136">
        <f>Rates!F166</f>
        <v>33</v>
      </c>
      <c r="F170" s="136">
        <f>Rates!G166</f>
        <v>22</v>
      </c>
      <c r="G170" s="136">
        <f>Rates!H166</f>
        <v>17</v>
      </c>
    </row>
    <row r="171" spans="2:7" x14ac:dyDescent="0.3">
      <c r="B171" s="98" t="str">
        <f>Rates!C167</f>
        <v>Togo</v>
      </c>
      <c r="C171" s="98" t="str">
        <f>Rates!D167</f>
        <v>Partner Countries</v>
      </c>
      <c r="D171" s="136">
        <f>Rates!E167</f>
        <v>47</v>
      </c>
      <c r="E171" s="136">
        <f>Rates!F167</f>
        <v>33</v>
      </c>
      <c r="F171" s="136">
        <f>Rates!G167</f>
        <v>22</v>
      </c>
      <c r="G171" s="136">
        <f>Rates!H167</f>
        <v>17</v>
      </c>
    </row>
    <row r="172" spans="2:7" x14ac:dyDescent="0.3">
      <c r="B172" s="98" t="str">
        <f>Rates!C168</f>
        <v>Tonga</v>
      </c>
      <c r="C172" s="98" t="str">
        <f>Rates!D168</f>
        <v>Partner Countries</v>
      </c>
      <c r="D172" s="136">
        <f>Rates!E168</f>
        <v>47</v>
      </c>
      <c r="E172" s="136">
        <f>Rates!F168</f>
        <v>33</v>
      </c>
      <c r="F172" s="136">
        <f>Rates!G168</f>
        <v>22</v>
      </c>
      <c r="G172" s="136">
        <f>Rates!H168</f>
        <v>17</v>
      </c>
    </row>
    <row r="173" spans="2:7" x14ac:dyDescent="0.3">
      <c r="B173" s="98" t="str">
        <f>Rates!C169</f>
        <v>Trinidad and Tobago</v>
      </c>
      <c r="C173" s="98" t="str">
        <f>Rates!D169</f>
        <v>Partner Countries</v>
      </c>
      <c r="D173" s="136">
        <f>Rates!E169</f>
        <v>77</v>
      </c>
      <c r="E173" s="136">
        <f>Rates!F169</f>
        <v>57</v>
      </c>
      <c r="F173" s="136">
        <f>Rates!G169</f>
        <v>40</v>
      </c>
      <c r="G173" s="136">
        <f>Rates!H169</f>
        <v>32</v>
      </c>
    </row>
    <row r="174" spans="2:7" x14ac:dyDescent="0.3">
      <c r="B174" s="98" t="str">
        <f>Rates!C170</f>
        <v>Tunisia</v>
      </c>
      <c r="C174" s="98" t="str">
        <f>Rates!D170</f>
        <v>Partner Countries</v>
      </c>
      <c r="D174" s="136">
        <f>Rates!E170</f>
        <v>47</v>
      </c>
      <c r="E174" s="136">
        <f>Rates!F170</f>
        <v>33</v>
      </c>
      <c r="F174" s="136">
        <f>Rates!G170</f>
        <v>22</v>
      </c>
      <c r="G174" s="136">
        <f>Rates!H170</f>
        <v>17</v>
      </c>
    </row>
    <row r="175" spans="2:7" x14ac:dyDescent="0.3">
      <c r="B175" s="98" t="str">
        <f>Rates!C171</f>
        <v>Turkmenistan</v>
      </c>
      <c r="C175" s="98" t="str">
        <f>Rates!D171</f>
        <v>Partner Countries</v>
      </c>
      <c r="D175" s="136">
        <f>Rates!E171</f>
        <v>47</v>
      </c>
      <c r="E175" s="136">
        <f>Rates!F171</f>
        <v>33</v>
      </c>
      <c r="F175" s="136">
        <f>Rates!G171</f>
        <v>22</v>
      </c>
      <c r="G175" s="136">
        <f>Rates!H171</f>
        <v>17</v>
      </c>
    </row>
    <row r="176" spans="2:7" x14ac:dyDescent="0.3">
      <c r="B176" s="98" t="str">
        <f>Rates!C172</f>
        <v>Tuvalu</v>
      </c>
      <c r="C176" s="98" t="str">
        <f>Rates!D172</f>
        <v>Partner Countries</v>
      </c>
      <c r="D176" s="136">
        <f>Rates!E172</f>
        <v>47</v>
      </c>
      <c r="E176" s="136">
        <f>Rates!F172</f>
        <v>33</v>
      </c>
      <c r="F176" s="136">
        <f>Rates!G172</f>
        <v>22</v>
      </c>
      <c r="G176" s="136">
        <f>Rates!H172</f>
        <v>17</v>
      </c>
    </row>
    <row r="177" spans="2:7" x14ac:dyDescent="0.3">
      <c r="B177" s="98" t="str">
        <f>Rates!C173</f>
        <v>Uganda</v>
      </c>
      <c r="C177" s="98" t="str">
        <f>Rates!D173</f>
        <v>Partner Countries</v>
      </c>
      <c r="D177" s="136">
        <f>Rates!E173</f>
        <v>47</v>
      </c>
      <c r="E177" s="136">
        <f>Rates!F173</f>
        <v>33</v>
      </c>
      <c r="F177" s="136">
        <f>Rates!G173</f>
        <v>22</v>
      </c>
      <c r="G177" s="136">
        <f>Rates!H173</f>
        <v>17</v>
      </c>
    </row>
    <row r="178" spans="2:7" x14ac:dyDescent="0.3">
      <c r="B178" s="98" t="str">
        <f>Rates!C174</f>
        <v>Ukraine</v>
      </c>
      <c r="C178" s="98" t="str">
        <f>Rates!D174</f>
        <v>Partner Countries</v>
      </c>
      <c r="D178" s="136">
        <f>Rates!E174</f>
        <v>108</v>
      </c>
      <c r="E178" s="136">
        <f>Rates!F174</f>
        <v>80</v>
      </c>
      <c r="F178" s="136">
        <f>Rates!G174</f>
        <v>57</v>
      </c>
      <c r="G178" s="136">
        <f>Rates!H174</f>
        <v>45</v>
      </c>
    </row>
    <row r="179" spans="2:7" x14ac:dyDescent="0.3">
      <c r="B179" s="98" t="str">
        <f>Rates!C175</f>
        <v>Uruguay</v>
      </c>
      <c r="C179" s="98" t="str">
        <f>Rates!D175</f>
        <v>Partner Countries</v>
      </c>
      <c r="D179" s="136">
        <f>Rates!E175</f>
        <v>108</v>
      </c>
      <c r="E179" s="136">
        <f>Rates!F175</f>
        <v>80</v>
      </c>
      <c r="F179" s="136">
        <f>Rates!G175</f>
        <v>57</v>
      </c>
      <c r="G179" s="136">
        <f>Rates!H175</f>
        <v>45</v>
      </c>
    </row>
    <row r="180" spans="2:7" x14ac:dyDescent="0.3">
      <c r="B180" s="98" t="str">
        <f>Rates!C176</f>
        <v>Uzbekistan</v>
      </c>
      <c r="C180" s="98" t="str">
        <f>Rates!D176</f>
        <v>Partner Countries</v>
      </c>
      <c r="D180" s="136">
        <f>Rates!E176</f>
        <v>47</v>
      </c>
      <c r="E180" s="136">
        <f>Rates!F176</f>
        <v>33</v>
      </c>
      <c r="F180" s="136">
        <f>Rates!G176</f>
        <v>22</v>
      </c>
      <c r="G180" s="136">
        <f>Rates!H176</f>
        <v>17</v>
      </c>
    </row>
    <row r="181" spans="2:7" x14ac:dyDescent="0.3">
      <c r="B181" s="98" t="str">
        <f>Rates!C177</f>
        <v>Vanuatu</v>
      </c>
      <c r="C181" s="98" t="str">
        <f>Rates!D177</f>
        <v>Partner Countries</v>
      </c>
      <c r="D181" s="136">
        <f>Rates!E177</f>
        <v>77</v>
      </c>
      <c r="E181" s="136">
        <f>Rates!F177</f>
        <v>57</v>
      </c>
      <c r="F181" s="136">
        <f>Rates!G177</f>
        <v>40</v>
      </c>
      <c r="G181" s="136">
        <f>Rates!H177</f>
        <v>32</v>
      </c>
    </row>
    <row r="182" spans="2:7" x14ac:dyDescent="0.3">
      <c r="B182" s="98" t="str">
        <f>Rates!C178</f>
        <v>Venezuela</v>
      </c>
      <c r="C182" s="98" t="str">
        <f>Rates!D178</f>
        <v>Partner Countries</v>
      </c>
      <c r="D182" s="136">
        <f>Rates!E178</f>
        <v>108</v>
      </c>
      <c r="E182" s="136">
        <f>Rates!F178</f>
        <v>80</v>
      </c>
      <c r="F182" s="136">
        <f>Rates!G178</f>
        <v>57</v>
      </c>
      <c r="G182" s="136">
        <f>Rates!H178</f>
        <v>45</v>
      </c>
    </row>
    <row r="183" spans="2:7" x14ac:dyDescent="0.3">
      <c r="B183" s="98" t="str">
        <f>Rates!C179</f>
        <v>Vietnam</v>
      </c>
      <c r="C183" s="98" t="str">
        <f>Rates!D179</f>
        <v>Partner Countries</v>
      </c>
      <c r="D183" s="136">
        <f>Rates!E179</f>
        <v>47</v>
      </c>
      <c r="E183" s="136">
        <f>Rates!F179</f>
        <v>33</v>
      </c>
      <c r="F183" s="136">
        <f>Rates!G179</f>
        <v>22</v>
      </c>
      <c r="G183" s="136">
        <f>Rates!H179</f>
        <v>17</v>
      </c>
    </row>
    <row r="184" spans="2:7" x14ac:dyDescent="0.3">
      <c r="B184" s="98" t="str">
        <f>Rates!C180</f>
        <v>Yemen</v>
      </c>
      <c r="C184" s="98" t="str">
        <f>Rates!D180</f>
        <v>Partner Countries</v>
      </c>
      <c r="D184" s="136">
        <f>Rates!E180</f>
        <v>47</v>
      </c>
      <c r="E184" s="136">
        <f>Rates!F180</f>
        <v>33</v>
      </c>
      <c r="F184" s="136">
        <f>Rates!G180</f>
        <v>22</v>
      </c>
      <c r="G184" s="136">
        <f>Rates!H180</f>
        <v>17</v>
      </c>
    </row>
    <row r="185" spans="2:7" x14ac:dyDescent="0.3">
      <c r="B185" s="98" t="str">
        <f>Rates!C181</f>
        <v>Zambia</v>
      </c>
      <c r="C185" s="98" t="str">
        <f>Rates!D181</f>
        <v>Partner Countries</v>
      </c>
      <c r="D185" s="136">
        <f>Rates!E181</f>
        <v>108</v>
      </c>
      <c r="E185" s="136">
        <f>Rates!F181</f>
        <v>80</v>
      </c>
      <c r="F185" s="136">
        <f>Rates!G181</f>
        <v>57</v>
      </c>
      <c r="G185" s="136">
        <f>Rates!H181</f>
        <v>45</v>
      </c>
    </row>
    <row r="186" spans="2:7" x14ac:dyDescent="0.3">
      <c r="B186" s="98" t="str">
        <f>Rates!C182</f>
        <v>Zimbabwe</v>
      </c>
      <c r="C186" s="98" t="str">
        <f>Rates!D182</f>
        <v>Partner Countries</v>
      </c>
      <c r="D186" s="136">
        <f>Rates!E182</f>
        <v>108</v>
      </c>
      <c r="E186" s="136">
        <f>Rates!F182</f>
        <v>80</v>
      </c>
      <c r="F186" s="136">
        <f>Rates!G182</f>
        <v>57</v>
      </c>
      <c r="G186" s="136">
        <f>Rates!H182</f>
        <v>45</v>
      </c>
    </row>
  </sheetData>
  <sheetProtection password="E359" sheet="1" objects="1" scenarios="1" selectLockedCells="1" selectUnlockedCells="1"/>
  <mergeCells count="18">
    <mergeCell ref="W5:AB5"/>
    <mergeCell ref="W6:AB6"/>
    <mergeCell ref="B1:AB1"/>
    <mergeCell ref="B4:G4"/>
    <mergeCell ref="I4:J4"/>
    <mergeCell ref="L4:N4"/>
    <mergeCell ref="P4:Q4"/>
    <mergeCell ref="S4:U4"/>
    <mergeCell ref="W4:AB4"/>
    <mergeCell ref="C3:H3"/>
    <mergeCell ref="C2:H2"/>
    <mergeCell ref="P7:Q7"/>
    <mergeCell ref="S7:U7"/>
    <mergeCell ref="B5:G6"/>
    <mergeCell ref="I5:J6"/>
    <mergeCell ref="L5:N6"/>
    <mergeCell ref="P5:Q6"/>
    <mergeCell ref="S5:U6"/>
  </mergeCells>
  <hyperlinks>
    <hyperlink ref="C2" r:id="rId1"/>
    <hyperlink ref="C3" r:id="rId2"/>
  </hyperlinks>
  <pageMargins left="0.7" right="0.7" top="0.75" bottom="0.75" header="0.3" footer="0.3"/>
  <pageSetup paperSize="9" scale="10"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39997558519241921"/>
    <pageSetUpPr fitToPage="1"/>
  </sheetPr>
  <dimension ref="B1:T72"/>
  <sheetViews>
    <sheetView showGridLines="0" zoomScale="50" zoomScaleNormal="50" zoomScaleSheetLayoutView="55" workbookViewId="0">
      <pane ySplit="13" topLeftCell="A14" activePane="bottomLeft" state="frozen"/>
      <selection pane="bottomLeft" activeCell="I68" sqref="I68"/>
    </sheetView>
  </sheetViews>
  <sheetFormatPr defaultColWidth="9.109375" defaultRowHeight="18" x14ac:dyDescent="0.35"/>
  <cols>
    <col min="1" max="1" width="1.6640625" style="16" customWidth="1"/>
    <col min="2" max="2" width="42.6640625" style="16" customWidth="1"/>
    <col min="3" max="3" width="10.6640625" style="16" customWidth="1"/>
    <col min="4" max="5" width="50.6640625" style="17" customWidth="1"/>
    <col min="6" max="6" width="20.6640625" style="17" customWidth="1"/>
    <col min="7" max="19" width="20.6640625" style="16" customWidth="1"/>
    <col min="20" max="20" width="11.6640625" style="16" bestFit="1" customWidth="1"/>
    <col min="21" max="21" width="1.6640625" style="16" customWidth="1"/>
    <col min="22" max="16384" width="9.109375" style="16"/>
  </cols>
  <sheetData>
    <row r="1" spans="2:20" ht="8.1" customHeight="1" x14ac:dyDescent="0.35"/>
    <row r="2" spans="2:20" s="46" customFormat="1" ht="39.9" customHeight="1" x14ac:dyDescent="0.35">
      <c r="B2" s="158" t="s">
        <v>172</v>
      </c>
      <c r="C2" s="158"/>
      <c r="D2" s="158"/>
      <c r="E2" s="158"/>
      <c r="F2" s="158"/>
      <c r="G2" s="158"/>
      <c r="H2" s="158"/>
      <c r="I2" s="158"/>
      <c r="J2" s="158"/>
      <c r="K2" s="158"/>
      <c r="L2" s="158"/>
      <c r="M2" s="158"/>
      <c r="N2" s="158"/>
      <c r="O2" s="158"/>
      <c r="P2" s="158"/>
      <c r="Q2" s="158"/>
      <c r="R2" s="158"/>
      <c r="S2" s="158"/>
      <c r="T2" s="158"/>
    </row>
    <row r="3" spans="2:20" s="46" customFormat="1" ht="8.1" customHeight="1" x14ac:dyDescent="0.35">
      <c r="B3" s="174"/>
      <c r="C3" s="175"/>
      <c r="D3" s="175"/>
      <c r="E3" s="175"/>
      <c r="F3" s="175"/>
      <c r="G3" s="175"/>
      <c r="H3" s="175"/>
      <c r="I3" s="175"/>
      <c r="J3" s="175"/>
      <c r="K3" s="175"/>
      <c r="L3" s="175"/>
      <c r="M3" s="175"/>
      <c r="N3" s="175"/>
      <c r="O3" s="175"/>
      <c r="P3" s="175"/>
      <c r="Q3" s="175"/>
      <c r="R3" s="175"/>
      <c r="S3" s="175"/>
      <c r="T3" s="67"/>
    </row>
    <row r="4" spans="2:20" s="46" customFormat="1" ht="24.9" customHeight="1" x14ac:dyDescent="0.35">
      <c r="B4" s="163"/>
      <c r="C4" s="171"/>
      <c r="D4" s="118" t="s">
        <v>190</v>
      </c>
      <c r="E4" s="118" t="s">
        <v>188</v>
      </c>
      <c r="G4" s="165"/>
      <c r="H4" s="165"/>
      <c r="I4" s="165"/>
      <c r="J4" s="165"/>
      <c r="K4" s="165"/>
      <c r="L4" s="165"/>
      <c r="M4" s="165"/>
      <c r="N4" s="165"/>
      <c r="O4" s="165"/>
      <c r="P4" s="165"/>
      <c r="Q4" s="165"/>
      <c r="R4" s="165"/>
      <c r="S4" s="165"/>
      <c r="T4" s="166"/>
    </row>
    <row r="5" spans="2:20" s="46" customFormat="1" ht="17.100000000000001" customHeight="1" x14ac:dyDescent="0.35">
      <c r="B5" s="167" t="s">
        <v>135</v>
      </c>
      <c r="C5" s="168"/>
      <c r="D5" s="126">
        <f>SUM(H:H)</f>
        <v>80941</v>
      </c>
      <c r="E5" s="68">
        <f>SUMIF(T:T,"&lt;&gt;Error",F:F)</f>
        <v>483.5</v>
      </c>
      <c r="G5" s="165"/>
      <c r="H5" s="165"/>
      <c r="I5" s="165"/>
      <c r="J5" s="165"/>
      <c r="K5" s="165"/>
      <c r="L5" s="165"/>
      <c r="M5" s="165"/>
      <c r="N5" s="165"/>
      <c r="O5" s="165"/>
      <c r="P5" s="165"/>
      <c r="Q5" s="165"/>
      <c r="R5" s="165"/>
      <c r="S5" s="165"/>
      <c r="T5" s="166"/>
    </row>
    <row r="6" spans="2:20" s="46" customFormat="1" ht="17.100000000000001" customHeight="1" x14ac:dyDescent="0.35">
      <c r="B6" s="169" t="s">
        <v>133</v>
      </c>
      <c r="C6" s="170"/>
      <c r="D6" s="126">
        <f>SUM(K:K)</f>
        <v>287758.5</v>
      </c>
      <c r="E6" s="68">
        <f>SUMIF(T:T,"&lt;&gt;Error",I:I)</f>
        <v>2369.5</v>
      </c>
      <c r="G6" s="165"/>
      <c r="H6" s="165"/>
      <c r="I6" s="165"/>
      <c r="J6" s="165"/>
      <c r="K6" s="165"/>
      <c r="L6" s="165"/>
      <c r="M6" s="165"/>
      <c r="N6" s="165"/>
      <c r="O6" s="165"/>
      <c r="P6" s="165"/>
      <c r="Q6" s="165"/>
      <c r="R6" s="165"/>
      <c r="S6" s="165"/>
      <c r="T6" s="166"/>
    </row>
    <row r="7" spans="2:20" s="46" customFormat="1" ht="17.100000000000001" customHeight="1" x14ac:dyDescent="0.35">
      <c r="B7" s="167" t="s">
        <v>361</v>
      </c>
      <c r="C7" s="168"/>
      <c r="D7" s="126">
        <f>SUM(N:N)</f>
        <v>0</v>
      </c>
      <c r="E7" s="68">
        <f>SUMIF(T:T,"&lt;&gt;Error",L:L)</f>
        <v>0</v>
      </c>
      <c r="G7" s="165"/>
      <c r="H7" s="165"/>
      <c r="I7" s="165"/>
      <c r="J7" s="165"/>
      <c r="K7" s="165"/>
      <c r="L7" s="165"/>
      <c r="M7" s="165"/>
      <c r="N7" s="165"/>
      <c r="O7" s="165"/>
      <c r="P7" s="165"/>
      <c r="Q7" s="165"/>
      <c r="R7" s="165"/>
      <c r="S7" s="165"/>
      <c r="T7" s="166"/>
    </row>
    <row r="8" spans="2:20" s="46" customFormat="1" ht="17.100000000000001" customHeight="1" x14ac:dyDescent="0.35">
      <c r="B8" s="167" t="s">
        <v>359</v>
      </c>
      <c r="C8" s="168"/>
      <c r="D8" s="126">
        <f>SUM(Q:Q)</f>
        <v>26064.5</v>
      </c>
      <c r="E8" s="68">
        <f>SUMIF(T:T,"&lt;&gt;Error",O:O)</f>
        <v>307.5</v>
      </c>
      <c r="G8" s="165"/>
      <c r="H8" s="165"/>
      <c r="I8" s="165"/>
      <c r="J8" s="165"/>
      <c r="K8" s="165"/>
      <c r="L8" s="165"/>
      <c r="M8" s="165"/>
      <c r="N8" s="165"/>
      <c r="O8" s="165"/>
      <c r="P8" s="165"/>
      <c r="Q8" s="165"/>
      <c r="R8" s="165"/>
      <c r="S8" s="165"/>
      <c r="T8" s="166"/>
    </row>
    <row r="9" spans="2:20" s="46" customFormat="1" ht="24.9" customHeight="1" x14ac:dyDescent="0.35">
      <c r="B9" s="172"/>
      <c r="C9" s="173"/>
      <c r="D9" s="70">
        <f>SUM(D5:D8)</f>
        <v>394764</v>
      </c>
      <c r="E9" s="69">
        <f>SUM(E5:E8)</f>
        <v>3160.5</v>
      </c>
      <c r="G9" s="165"/>
      <c r="H9" s="165"/>
      <c r="I9" s="165"/>
      <c r="J9" s="165"/>
      <c r="K9" s="165"/>
      <c r="L9" s="165"/>
      <c r="M9" s="165"/>
      <c r="N9" s="165"/>
      <c r="O9" s="165"/>
      <c r="P9" s="165"/>
      <c r="Q9" s="165"/>
      <c r="R9" s="165"/>
      <c r="S9" s="165"/>
      <c r="T9" s="166"/>
    </row>
    <row r="10" spans="2:20" s="46" customFormat="1" ht="8.1" customHeight="1" x14ac:dyDescent="0.35">
      <c r="B10" s="163"/>
      <c r="C10" s="164"/>
      <c r="D10" s="164"/>
      <c r="E10" s="164"/>
      <c r="F10" s="164"/>
      <c r="G10" s="164"/>
      <c r="H10" s="164"/>
      <c r="I10" s="164"/>
      <c r="J10" s="164"/>
      <c r="K10" s="164"/>
      <c r="L10" s="164"/>
      <c r="M10" s="164"/>
      <c r="N10" s="164"/>
      <c r="O10" s="164"/>
      <c r="P10" s="164"/>
      <c r="Q10" s="164"/>
      <c r="R10" s="164"/>
      <c r="S10" s="164"/>
      <c r="T10" s="71"/>
    </row>
    <row r="11" spans="2:20" s="125" customFormat="1" ht="16.5" customHeight="1" x14ac:dyDescent="0.35">
      <c r="B11" s="157" t="s">
        <v>168</v>
      </c>
      <c r="C11" s="157" t="s">
        <v>151</v>
      </c>
      <c r="D11" s="157" t="s">
        <v>237</v>
      </c>
      <c r="E11" s="157" t="s">
        <v>238</v>
      </c>
      <c r="F11" s="159" t="str">
        <f>Rates!E3</f>
        <v>Manager</v>
      </c>
      <c r="G11" s="159"/>
      <c r="H11" s="159"/>
      <c r="I11" s="160" t="str">
        <f>Rates!F3</f>
        <v>Teacher/Trainer/Researcher</v>
      </c>
      <c r="J11" s="161"/>
      <c r="K11" s="162"/>
      <c r="L11" s="159" t="str">
        <f>Rates!G3</f>
        <v>Technical Staff</v>
      </c>
      <c r="M11" s="159"/>
      <c r="N11" s="159"/>
      <c r="O11" s="159" t="str">
        <f>Rates!H3</f>
        <v>Administrative Staff</v>
      </c>
      <c r="P11" s="159"/>
      <c r="Q11" s="159"/>
      <c r="R11" s="157" t="s">
        <v>210</v>
      </c>
      <c r="S11" s="157" t="s">
        <v>169</v>
      </c>
      <c r="T11" s="157" t="s">
        <v>239</v>
      </c>
    </row>
    <row r="12" spans="2:20" s="125" customFormat="1" ht="42" customHeight="1" x14ac:dyDescent="0.35">
      <c r="B12" s="156"/>
      <c r="C12" s="156"/>
      <c r="D12" s="156"/>
      <c r="E12" s="156"/>
      <c r="F12" s="122" t="s">
        <v>222</v>
      </c>
      <c r="G12" s="72" t="s">
        <v>229</v>
      </c>
      <c r="H12" s="122" t="s">
        <v>170</v>
      </c>
      <c r="I12" s="122" t="s">
        <v>222</v>
      </c>
      <c r="J12" s="72" t="s">
        <v>229</v>
      </c>
      <c r="K12" s="122" t="s">
        <v>170</v>
      </c>
      <c r="L12" s="122" t="s">
        <v>222</v>
      </c>
      <c r="M12" s="72" t="s">
        <v>229</v>
      </c>
      <c r="N12" s="122" t="s">
        <v>170</v>
      </c>
      <c r="O12" s="122" t="s">
        <v>222</v>
      </c>
      <c r="P12" s="72" t="s">
        <v>229</v>
      </c>
      <c r="Q12" s="122" t="s">
        <v>170</v>
      </c>
      <c r="R12" s="156"/>
      <c r="S12" s="156"/>
      <c r="T12" s="156"/>
    </row>
    <row r="13" spans="2:20" s="80" customFormat="1" hidden="1" x14ac:dyDescent="0.3">
      <c r="B13" s="39"/>
      <c r="C13" s="73"/>
      <c r="D13" s="137" t="str">
        <f t="shared" ref="D13:D44" si="0">IFERROR(IF(VLOOKUP(C13,PartnerN°Ref,2,FALSE)=0,"",VLOOKUP(C13,PartnerN°Ref,2,FALSE)),"")</f>
        <v/>
      </c>
      <c r="E13" s="137" t="str">
        <f t="shared" ref="E13:E44" si="1">IFERROR(IF(OR(VLOOKUP(C13,PartnerN°Ref,4,FALSE)="Country not found",VLOOKUP(C13,PartnerN°Ref,3,FALSE)=0),"",VLOOKUP(C13,PartnerN°Ref,3,FALSE)),"")</f>
        <v/>
      </c>
      <c r="F13" s="74">
        <v>0</v>
      </c>
      <c r="G13" s="75">
        <f t="shared" ref="G13:G44" si="2">IF(T13="Error",0,INDEX(Rates,MATCH(E13,CountryALL,0),MATCH($F$11,Category,0)))</f>
        <v>0</v>
      </c>
      <c r="H13" s="76">
        <f t="shared" ref="H13:H44" si="3">IFERROR(IF(T13="Error",0,ROUND(F13*G13,2)),0)</f>
        <v>0</v>
      </c>
      <c r="I13" s="74">
        <v>0</v>
      </c>
      <c r="J13" s="75">
        <f t="shared" ref="J13:J44" si="4">IF(T13="Error",0,INDEX(Rates,MATCH(E13,CountryALL,0),MATCH($I$11,Category,0)))</f>
        <v>0</v>
      </c>
      <c r="K13" s="76">
        <f t="shared" ref="K13:K44" si="5">IFERROR(IF(T13="Error",0,ROUND(I13*J13,2)),0)</f>
        <v>0</v>
      </c>
      <c r="L13" s="74">
        <v>0</v>
      </c>
      <c r="M13" s="75">
        <f t="shared" ref="M13:M44" si="6">IF(T13="Error",0,INDEX(Rates,MATCH(E13,CountryALL,0),MATCH($L$11,Category,0)))</f>
        <v>0</v>
      </c>
      <c r="N13" s="76">
        <f t="shared" ref="N13:N44" si="7">IFERROR(IF(T13="Error",0,ROUND(L13*M13,2)),0)</f>
        <v>0</v>
      </c>
      <c r="O13" s="74">
        <v>0</v>
      </c>
      <c r="P13" s="75">
        <f t="shared" ref="P13:P44" si="8">IF(T13="Error",0,INDEX(Rates,MATCH(E13,CountryALL,0),MATCH($O$11,Category,0)))</f>
        <v>0</v>
      </c>
      <c r="Q13" s="76">
        <f t="shared" ref="Q13:Q44" si="9">IFERROR(IF(T13="Error",0,ROUND(O13*P13,2)),0)</f>
        <v>0</v>
      </c>
      <c r="R13" s="77">
        <f t="shared" ref="R13:R44" si="10">IF(T13="Error",0,F13+I13+L13+O13)</f>
        <v>0</v>
      </c>
      <c r="S13" s="78">
        <f t="shared" ref="S13:S44" si="11">IF(T13="Error",0,H13+K13+N13+Q13)</f>
        <v>0</v>
      </c>
      <c r="T13" s="79" t="str">
        <f t="shared" ref="T13:T44" si="12">IF(OR(COUNTIF(WorkPackage,B13)=0,COUNTIF(PartnerN°,C13)=0,D13="",COUNTIF(CountryALL,E13)=0,ISNUMBER(F13)=FALSE,ISNUMBER(I13)=FALSE,ISNUMBER(L13)=FALSE,ISNUMBER(O13)=FALSE,IF(ISNUMBER(F13)=TRUE,F13=INT(F13*10)/10=FALSE),IF(ISNUMBER(I13)=TRUE,I13=INT(I13*10)/10=FALSE),IF(ISNUMBER(L13)=TRUE,L13=INT(L13*10)/10=FALSE),IF(ISNUMBER(O13)=TRUE,O13=INT(O13*10)/10=FALSE)),"Error","")</f>
        <v>Error</v>
      </c>
    </row>
    <row r="14" spans="2:20" s="80" customFormat="1" ht="36" x14ac:dyDescent="0.3">
      <c r="B14" s="39" t="s">
        <v>179</v>
      </c>
      <c r="C14" s="73" t="s">
        <v>9</v>
      </c>
      <c r="D14" s="137" t="str">
        <f t="shared" si="0"/>
        <v>Kibbutzim College of Education, Technology and Arts</v>
      </c>
      <c r="E14" s="137" t="str">
        <f t="shared" si="1"/>
        <v>Israel</v>
      </c>
      <c r="F14" s="74">
        <v>15</v>
      </c>
      <c r="G14" s="75">
        <f t="shared" si="2"/>
        <v>166</v>
      </c>
      <c r="H14" s="76">
        <f t="shared" si="3"/>
        <v>2490</v>
      </c>
      <c r="I14" s="74">
        <v>30.5</v>
      </c>
      <c r="J14" s="75">
        <f t="shared" si="4"/>
        <v>132</v>
      </c>
      <c r="K14" s="76">
        <f t="shared" si="5"/>
        <v>4026</v>
      </c>
      <c r="L14" s="74">
        <v>0</v>
      </c>
      <c r="M14" s="75">
        <f t="shared" si="6"/>
        <v>102</v>
      </c>
      <c r="N14" s="76">
        <f t="shared" si="7"/>
        <v>0</v>
      </c>
      <c r="O14" s="74">
        <v>11.5</v>
      </c>
      <c r="P14" s="75">
        <f t="shared" si="8"/>
        <v>92</v>
      </c>
      <c r="Q14" s="76">
        <f t="shared" si="9"/>
        <v>1058</v>
      </c>
      <c r="R14" s="77">
        <f t="shared" si="10"/>
        <v>57</v>
      </c>
      <c r="S14" s="78">
        <f t="shared" si="11"/>
        <v>7574</v>
      </c>
      <c r="T14" s="79" t="str">
        <f t="shared" si="12"/>
        <v/>
      </c>
    </row>
    <row r="15" spans="2:20" s="80" customFormat="1" ht="36" x14ac:dyDescent="0.3">
      <c r="B15" s="39" t="s">
        <v>178</v>
      </c>
      <c r="C15" s="73" t="s">
        <v>9</v>
      </c>
      <c r="D15" s="137" t="str">
        <f t="shared" si="0"/>
        <v>Kibbutzim College of Education, Technology and Arts</v>
      </c>
      <c r="E15" s="137" t="str">
        <f t="shared" si="1"/>
        <v>Israel</v>
      </c>
      <c r="F15" s="74">
        <v>29.5</v>
      </c>
      <c r="G15" s="75">
        <f t="shared" si="2"/>
        <v>166</v>
      </c>
      <c r="H15" s="76">
        <f t="shared" si="3"/>
        <v>4897</v>
      </c>
      <c r="I15" s="74">
        <v>130.5</v>
      </c>
      <c r="J15" s="75">
        <f t="shared" si="4"/>
        <v>132</v>
      </c>
      <c r="K15" s="76">
        <f t="shared" si="5"/>
        <v>17226</v>
      </c>
      <c r="L15" s="74">
        <v>0</v>
      </c>
      <c r="M15" s="75">
        <f t="shared" si="6"/>
        <v>102</v>
      </c>
      <c r="N15" s="76">
        <f t="shared" si="7"/>
        <v>0</v>
      </c>
      <c r="O15" s="74">
        <v>18.5</v>
      </c>
      <c r="P15" s="75">
        <f t="shared" si="8"/>
        <v>92</v>
      </c>
      <c r="Q15" s="76">
        <f t="shared" si="9"/>
        <v>1702</v>
      </c>
      <c r="R15" s="77">
        <f t="shared" si="10"/>
        <v>178.5</v>
      </c>
      <c r="S15" s="78">
        <f t="shared" si="11"/>
        <v>23825</v>
      </c>
      <c r="T15" s="79" t="str">
        <f t="shared" si="12"/>
        <v/>
      </c>
    </row>
    <row r="16" spans="2:20" s="80" customFormat="1" ht="36" x14ac:dyDescent="0.3">
      <c r="B16" s="39" t="s">
        <v>366</v>
      </c>
      <c r="C16" s="73" t="s">
        <v>9</v>
      </c>
      <c r="D16" s="137" t="str">
        <f t="shared" si="0"/>
        <v>Kibbutzim College of Education, Technology and Arts</v>
      </c>
      <c r="E16" s="137" t="str">
        <f t="shared" si="1"/>
        <v>Israel</v>
      </c>
      <c r="F16" s="74">
        <v>8</v>
      </c>
      <c r="G16" s="75">
        <f t="shared" si="2"/>
        <v>166</v>
      </c>
      <c r="H16" s="76">
        <f t="shared" si="3"/>
        <v>1328</v>
      </c>
      <c r="I16" s="74">
        <v>17.5</v>
      </c>
      <c r="J16" s="75">
        <f t="shared" si="4"/>
        <v>132</v>
      </c>
      <c r="K16" s="76">
        <f t="shared" si="5"/>
        <v>2310</v>
      </c>
      <c r="L16" s="74">
        <v>0</v>
      </c>
      <c r="M16" s="75">
        <f t="shared" si="6"/>
        <v>102</v>
      </c>
      <c r="N16" s="76">
        <f t="shared" si="7"/>
        <v>0</v>
      </c>
      <c r="O16" s="74">
        <v>1.5</v>
      </c>
      <c r="P16" s="75">
        <f t="shared" si="8"/>
        <v>92</v>
      </c>
      <c r="Q16" s="76">
        <f t="shared" si="9"/>
        <v>138</v>
      </c>
      <c r="R16" s="77">
        <f t="shared" si="10"/>
        <v>27</v>
      </c>
      <c r="S16" s="78">
        <f t="shared" si="11"/>
        <v>3776</v>
      </c>
      <c r="T16" s="79" t="str">
        <f t="shared" si="12"/>
        <v/>
      </c>
    </row>
    <row r="17" spans="2:20" s="80" customFormat="1" ht="36" x14ac:dyDescent="0.3">
      <c r="B17" s="39" t="s">
        <v>372</v>
      </c>
      <c r="C17" s="73" t="s">
        <v>9</v>
      </c>
      <c r="D17" s="137" t="str">
        <f t="shared" si="0"/>
        <v>Kibbutzim College of Education, Technology and Arts</v>
      </c>
      <c r="E17" s="137" t="str">
        <f t="shared" si="1"/>
        <v>Israel</v>
      </c>
      <c r="F17" s="74">
        <v>10.5</v>
      </c>
      <c r="G17" s="75">
        <f t="shared" si="2"/>
        <v>166</v>
      </c>
      <c r="H17" s="76">
        <f t="shared" si="3"/>
        <v>1743</v>
      </c>
      <c r="I17" s="74">
        <v>27</v>
      </c>
      <c r="J17" s="75">
        <f t="shared" si="4"/>
        <v>132</v>
      </c>
      <c r="K17" s="76">
        <f t="shared" si="5"/>
        <v>3564</v>
      </c>
      <c r="L17" s="74">
        <v>0</v>
      </c>
      <c r="M17" s="75">
        <f t="shared" si="6"/>
        <v>102</v>
      </c>
      <c r="N17" s="76">
        <f t="shared" si="7"/>
        <v>0</v>
      </c>
      <c r="O17" s="74">
        <v>1</v>
      </c>
      <c r="P17" s="75">
        <f t="shared" si="8"/>
        <v>92</v>
      </c>
      <c r="Q17" s="76">
        <f t="shared" si="9"/>
        <v>92</v>
      </c>
      <c r="R17" s="77">
        <f t="shared" si="10"/>
        <v>38.5</v>
      </c>
      <c r="S17" s="78">
        <f t="shared" si="11"/>
        <v>5399</v>
      </c>
      <c r="T17" s="79" t="str">
        <f t="shared" si="12"/>
        <v/>
      </c>
    </row>
    <row r="18" spans="2:20" s="80" customFormat="1" ht="36" x14ac:dyDescent="0.3">
      <c r="B18" s="39" t="s">
        <v>180</v>
      </c>
      <c r="C18" s="73" t="s">
        <v>9</v>
      </c>
      <c r="D18" s="137" t="str">
        <f t="shared" si="0"/>
        <v>Kibbutzim College of Education, Technology and Arts</v>
      </c>
      <c r="E18" s="137" t="str">
        <f t="shared" si="1"/>
        <v>Israel</v>
      </c>
      <c r="F18" s="74">
        <v>68.5</v>
      </c>
      <c r="G18" s="75">
        <f t="shared" si="2"/>
        <v>166</v>
      </c>
      <c r="H18" s="76">
        <f t="shared" si="3"/>
        <v>11371</v>
      </c>
      <c r="I18" s="74">
        <v>41</v>
      </c>
      <c r="J18" s="75">
        <f t="shared" si="4"/>
        <v>132</v>
      </c>
      <c r="K18" s="76">
        <f t="shared" si="5"/>
        <v>5412</v>
      </c>
      <c r="L18" s="74">
        <v>0</v>
      </c>
      <c r="M18" s="75">
        <f t="shared" si="6"/>
        <v>102</v>
      </c>
      <c r="N18" s="76">
        <f t="shared" si="7"/>
        <v>0</v>
      </c>
      <c r="O18" s="74">
        <v>54.5</v>
      </c>
      <c r="P18" s="75">
        <f t="shared" si="8"/>
        <v>92</v>
      </c>
      <c r="Q18" s="76">
        <f t="shared" si="9"/>
        <v>5014</v>
      </c>
      <c r="R18" s="77">
        <f t="shared" si="10"/>
        <v>164</v>
      </c>
      <c r="S18" s="78">
        <f t="shared" si="11"/>
        <v>21797</v>
      </c>
      <c r="T18" s="79" t="str">
        <f t="shared" si="12"/>
        <v/>
      </c>
    </row>
    <row r="19" spans="2:20" s="80" customFormat="1" x14ac:dyDescent="0.3">
      <c r="B19" s="39" t="s">
        <v>179</v>
      </c>
      <c r="C19" s="73" t="s">
        <v>10</v>
      </c>
      <c r="D19" s="137" t="str">
        <f t="shared" si="0"/>
        <v>The MOFET Institute</v>
      </c>
      <c r="E19" s="137" t="str">
        <f t="shared" si="1"/>
        <v>Israel</v>
      </c>
      <c r="F19" s="74">
        <v>15.5</v>
      </c>
      <c r="G19" s="75">
        <f t="shared" si="2"/>
        <v>166</v>
      </c>
      <c r="H19" s="76">
        <f t="shared" si="3"/>
        <v>2573</v>
      </c>
      <c r="I19" s="74">
        <v>32</v>
      </c>
      <c r="J19" s="75">
        <f t="shared" si="4"/>
        <v>132</v>
      </c>
      <c r="K19" s="76">
        <f t="shared" si="5"/>
        <v>4224</v>
      </c>
      <c r="L19" s="74">
        <v>0</v>
      </c>
      <c r="M19" s="75">
        <f t="shared" si="6"/>
        <v>102</v>
      </c>
      <c r="N19" s="76">
        <f t="shared" si="7"/>
        <v>0</v>
      </c>
      <c r="O19" s="74">
        <v>12.5</v>
      </c>
      <c r="P19" s="75">
        <f t="shared" si="8"/>
        <v>92</v>
      </c>
      <c r="Q19" s="76">
        <f t="shared" si="9"/>
        <v>1150</v>
      </c>
      <c r="R19" s="77">
        <f t="shared" si="10"/>
        <v>60</v>
      </c>
      <c r="S19" s="78">
        <f t="shared" si="11"/>
        <v>7947</v>
      </c>
      <c r="T19" s="79" t="str">
        <f t="shared" si="12"/>
        <v/>
      </c>
    </row>
    <row r="20" spans="2:20" s="80" customFormat="1" x14ac:dyDescent="0.3">
      <c r="B20" s="39" t="s">
        <v>178</v>
      </c>
      <c r="C20" s="73" t="s">
        <v>10</v>
      </c>
      <c r="D20" s="137" t="str">
        <f t="shared" si="0"/>
        <v>The MOFET Institute</v>
      </c>
      <c r="E20" s="137" t="str">
        <f t="shared" si="1"/>
        <v>Israel</v>
      </c>
      <c r="F20" s="74">
        <v>28</v>
      </c>
      <c r="G20" s="75">
        <f t="shared" si="2"/>
        <v>166</v>
      </c>
      <c r="H20" s="76">
        <f t="shared" si="3"/>
        <v>4648</v>
      </c>
      <c r="I20" s="74">
        <v>132</v>
      </c>
      <c r="J20" s="75">
        <f t="shared" si="4"/>
        <v>132</v>
      </c>
      <c r="K20" s="76">
        <f t="shared" si="5"/>
        <v>17424</v>
      </c>
      <c r="L20" s="74">
        <v>0</v>
      </c>
      <c r="M20" s="75">
        <f t="shared" si="6"/>
        <v>102</v>
      </c>
      <c r="N20" s="76">
        <f t="shared" si="7"/>
        <v>0</v>
      </c>
      <c r="O20" s="74">
        <v>16.5</v>
      </c>
      <c r="P20" s="75">
        <f t="shared" si="8"/>
        <v>92</v>
      </c>
      <c r="Q20" s="76">
        <f t="shared" si="9"/>
        <v>1518</v>
      </c>
      <c r="R20" s="77">
        <f t="shared" si="10"/>
        <v>176.5</v>
      </c>
      <c r="S20" s="78">
        <f t="shared" si="11"/>
        <v>23590</v>
      </c>
      <c r="T20" s="79" t="str">
        <f t="shared" si="12"/>
        <v/>
      </c>
    </row>
    <row r="21" spans="2:20" s="80" customFormat="1" x14ac:dyDescent="0.3">
      <c r="B21" s="39" t="s">
        <v>366</v>
      </c>
      <c r="C21" s="73" t="s">
        <v>10</v>
      </c>
      <c r="D21" s="137" t="str">
        <f t="shared" si="0"/>
        <v>The MOFET Institute</v>
      </c>
      <c r="E21" s="137" t="str">
        <f t="shared" si="1"/>
        <v>Israel</v>
      </c>
      <c r="F21" s="74">
        <v>7</v>
      </c>
      <c r="G21" s="75">
        <f t="shared" si="2"/>
        <v>166</v>
      </c>
      <c r="H21" s="76">
        <f t="shared" si="3"/>
        <v>1162</v>
      </c>
      <c r="I21" s="74">
        <v>17</v>
      </c>
      <c r="J21" s="75">
        <f t="shared" si="4"/>
        <v>132</v>
      </c>
      <c r="K21" s="76">
        <f t="shared" si="5"/>
        <v>2244</v>
      </c>
      <c r="L21" s="74">
        <v>0</v>
      </c>
      <c r="M21" s="75">
        <f t="shared" si="6"/>
        <v>102</v>
      </c>
      <c r="N21" s="76">
        <f t="shared" si="7"/>
        <v>0</v>
      </c>
      <c r="O21" s="74">
        <v>1.5</v>
      </c>
      <c r="P21" s="75">
        <f t="shared" si="8"/>
        <v>92</v>
      </c>
      <c r="Q21" s="76">
        <f t="shared" si="9"/>
        <v>138</v>
      </c>
      <c r="R21" s="77">
        <f t="shared" si="10"/>
        <v>25.5</v>
      </c>
      <c r="S21" s="78">
        <f t="shared" si="11"/>
        <v>3544</v>
      </c>
      <c r="T21" s="79" t="str">
        <f t="shared" si="12"/>
        <v/>
      </c>
    </row>
    <row r="22" spans="2:20" s="80" customFormat="1" x14ac:dyDescent="0.3">
      <c r="B22" s="39" t="s">
        <v>372</v>
      </c>
      <c r="C22" s="73" t="s">
        <v>10</v>
      </c>
      <c r="D22" s="137" t="str">
        <f t="shared" si="0"/>
        <v>The MOFET Institute</v>
      </c>
      <c r="E22" s="137" t="str">
        <f t="shared" si="1"/>
        <v>Israel</v>
      </c>
      <c r="F22" s="74">
        <v>8</v>
      </c>
      <c r="G22" s="75">
        <f t="shared" si="2"/>
        <v>166</v>
      </c>
      <c r="H22" s="76">
        <f t="shared" si="3"/>
        <v>1328</v>
      </c>
      <c r="I22" s="74">
        <v>24.5</v>
      </c>
      <c r="J22" s="75">
        <f t="shared" si="4"/>
        <v>132</v>
      </c>
      <c r="K22" s="76">
        <f t="shared" si="5"/>
        <v>3234</v>
      </c>
      <c r="L22" s="74">
        <v>0</v>
      </c>
      <c r="M22" s="75">
        <f t="shared" si="6"/>
        <v>102</v>
      </c>
      <c r="N22" s="76">
        <f t="shared" si="7"/>
        <v>0</v>
      </c>
      <c r="O22" s="74">
        <v>1</v>
      </c>
      <c r="P22" s="75">
        <f t="shared" si="8"/>
        <v>92</v>
      </c>
      <c r="Q22" s="76">
        <f t="shared" si="9"/>
        <v>92</v>
      </c>
      <c r="R22" s="77">
        <f t="shared" si="10"/>
        <v>33.5</v>
      </c>
      <c r="S22" s="78">
        <f t="shared" si="11"/>
        <v>4654</v>
      </c>
      <c r="T22" s="79" t="str">
        <f t="shared" si="12"/>
        <v/>
      </c>
    </row>
    <row r="23" spans="2:20" s="80" customFormat="1" x14ac:dyDescent="0.3">
      <c r="B23" s="39" t="s">
        <v>180</v>
      </c>
      <c r="C23" s="73" t="s">
        <v>10</v>
      </c>
      <c r="D23" s="137" t="str">
        <f t="shared" si="0"/>
        <v>The MOFET Institute</v>
      </c>
      <c r="E23" s="137" t="str">
        <f t="shared" si="1"/>
        <v>Israel</v>
      </c>
      <c r="F23" s="74">
        <v>54.5</v>
      </c>
      <c r="G23" s="75">
        <f t="shared" si="2"/>
        <v>166</v>
      </c>
      <c r="H23" s="76">
        <f t="shared" si="3"/>
        <v>9047</v>
      </c>
      <c r="I23" s="74">
        <v>27.5</v>
      </c>
      <c r="J23" s="75">
        <f t="shared" si="4"/>
        <v>132</v>
      </c>
      <c r="K23" s="76">
        <f t="shared" si="5"/>
        <v>3630</v>
      </c>
      <c r="L23" s="74">
        <v>0</v>
      </c>
      <c r="M23" s="75">
        <f t="shared" si="6"/>
        <v>102</v>
      </c>
      <c r="N23" s="76">
        <f t="shared" si="7"/>
        <v>0</v>
      </c>
      <c r="O23" s="74">
        <v>40.5</v>
      </c>
      <c r="P23" s="75">
        <f t="shared" si="8"/>
        <v>92</v>
      </c>
      <c r="Q23" s="76">
        <f t="shared" si="9"/>
        <v>3726</v>
      </c>
      <c r="R23" s="77">
        <f t="shared" si="10"/>
        <v>122.5</v>
      </c>
      <c r="S23" s="78">
        <f t="shared" si="11"/>
        <v>16403</v>
      </c>
      <c r="T23" s="79" t="str">
        <f t="shared" si="12"/>
        <v/>
      </c>
    </row>
    <row r="24" spans="2:20" s="80" customFormat="1" x14ac:dyDescent="0.3">
      <c r="B24" s="39" t="s">
        <v>179</v>
      </c>
      <c r="C24" s="73" t="s">
        <v>11</v>
      </c>
      <c r="D24" s="137" t="str">
        <f t="shared" si="0"/>
        <v>Beit Berl College</v>
      </c>
      <c r="E24" s="137" t="str">
        <f t="shared" si="1"/>
        <v>Israel</v>
      </c>
      <c r="F24" s="74">
        <v>18</v>
      </c>
      <c r="G24" s="75">
        <f t="shared" si="2"/>
        <v>166</v>
      </c>
      <c r="H24" s="76">
        <f t="shared" si="3"/>
        <v>2988</v>
      </c>
      <c r="I24" s="74">
        <v>36</v>
      </c>
      <c r="J24" s="75">
        <f t="shared" si="4"/>
        <v>132</v>
      </c>
      <c r="K24" s="76">
        <f t="shared" si="5"/>
        <v>4752</v>
      </c>
      <c r="L24" s="74">
        <v>0</v>
      </c>
      <c r="M24" s="75">
        <f t="shared" si="6"/>
        <v>102</v>
      </c>
      <c r="N24" s="76">
        <f t="shared" si="7"/>
        <v>0</v>
      </c>
      <c r="O24" s="74">
        <v>4</v>
      </c>
      <c r="P24" s="75">
        <f t="shared" si="8"/>
        <v>92</v>
      </c>
      <c r="Q24" s="76">
        <f t="shared" si="9"/>
        <v>368</v>
      </c>
      <c r="R24" s="77">
        <f t="shared" si="10"/>
        <v>58</v>
      </c>
      <c r="S24" s="78">
        <f t="shared" si="11"/>
        <v>8108</v>
      </c>
      <c r="T24" s="79" t="str">
        <f t="shared" si="12"/>
        <v/>
      </c>
    </row>
    <row r="25" spans="2:20" s="80" customFormat="1" x14ac:dyDescent="0.3">
      <c r="B25" s="39" t="s">
        <v>178</v>
      </c>
      <c r="C25" s="73" t="s">
        <v>11</v>
      </c>
      <c r="D25" s="137" t="str">
        <f t="shared" si="0"/>
        <v>Beit Berl College</v>
      </c>
      <c r="E25" s="137" t="str">
        <f t="shared" si="1"/>
        <v>Israel</v>
      </c>
      <c r="F25" s="74">
        <v>30.5</v>
      </c>
      <c r="G25" s="75">
        <f t="shared" si="2"/>
        <v>166</v>
      </c>
      <c r="H25" s="76">
        <f t="shared" si="3"/>
        <v>5063</v>
      </c>
      <c r="I25" s="74">
        <v>145</v>
      </c>
      <c r="J25" s="75">
        <f t="shared" si="4"/>
        <v>132</v>
      </c>
      <c r="K25" s="76">
        <f t="shared" si="5"/>
        <v>19140</v>
      </c>
      <c r="L25" s="74">
        <v>0</v>
      </c>
      <c r="M25" s="75">
        <f t="shared" si="6"/>
        <v>102</v>
      </c>
      <c r="N25" s="76">
        <f t="shared" si="7"/>
        <v>0</v>
      </c>
      <c r="O25" s="74">
        <v>5</v>
      </c>
      <c r="P25" s="75">
        <f t="shared" si="8"/>
        <v>92</v>
      </c>
      <c r="Q25" s="76">
        <f t="shared" si="9"/>
        <v>460</v>
      </c>
      <c r="R25" s="77">
        <f t="shared" si="10"/>
        <v>180.5</v>
      </c>
      <c r="S25" s="78">
        <f t="shared" si="11"/>
        <v>24663</v>
      </c>
      <c r="T25" s="79" t="str">
        <f t="shared" si="12"/>
        <v/>
      </c>
    </row>
    <row r="26" spans="2:20" s="80" customFormat="1" x14ac:dyDescent="0.3">
      <c r="B26" s="39" t="s">
        <v>366</v>
      </c>
      <c r="C26" s="73" t="s">
        <v>11</v>
      </c>
      <c r="D26" s="137" t="str">
        <f t="shared" si="0"/>
        <v>Beit Berl College</v>
      </c>
      <c r="E26" s="137" t="str">
        <f t="shared" si="1"/>
        <v>Israel</v>
      </c>
      <c r="F26" s="74">
        <v>11</v>
      </c>
      <c r="G26" s="75">
        <f t="shared" si="2"/>
        <v>166</v>
      </c>
      <c r="H26" s="76">
        <f t="shared" si="3"/>
        <v>1826</v>
      </c>
      <c r="I26" s="74">
        <v>22</v>
      </c>
      <c r="J26" s="75">
        <f t="shared" si="4"/>
        <v>132</v>
      </c>
      <c r="K26" s="76">
        <f t="shared" si="5"/>
        <v>2904</v>
      </c>
      <c r="L26" s="74">
        <v>0</v>
      </c>
      <c r="M26" s="75">
        <f t="shared" si="6"/>
        <v>102</v>
      </c>
      <c r="N26" s="76">
        <f t="shared" si="7"/>
        <v>0</v>
      </c>
      <c r="O26" s="74">
        <v>0</v>
      </c>
      <c r="P26" s="75">
        <f t="shared" si="8"/>
        <v>92</v>
      </c>
      <c r="Q26" s="76">
        <f t="shared" si="9"/>
        <v>0</v>
      </c>
      <c r="R26" s="77">
        <f t="shared" si="10"/>
        <v>33</v>
      </c>
      <c r="S26" s="78">
        <f t="shared" si="11"/>
        <v>4730</v>
      </c>
      <c r="T26" s="79" t="str">
        <f t="shared" si="12"/>
        <v/>
      </c>
    </row>
    <row r="27" spans="2:20" s="80" customFormat="1" x14ac:dyDescent="0.3">
      <c r="B27" s="39" t="s">
        <v>372</v>
      </c>
      <c r="C27" s="73" t="s">
        <v>11</v>
      </c>
      <c r="D27" s="137" t="str">
        <f t="shared" si="0"/>
        <v>Beit Berl College</v>
      </c>
      <c r="E27" s="137" t="str">
        <f t="shared" si="1"/>
        <v>Israel</v>
      </c>
      <c r="F27" s="74">
        <v>12.5</v>
      </c>
      <c r="G27" s="75">
        <f t="shared" si="2"/>
        <v>166</v>
      </c>
      <c r="H27" s="76">
        <f t="shared" si="3"/>
        <v>2075</v>
      </c>
      <c r="I27" s="74">
        <v>31</v>
      </c>
      <c r="J27" s="75">
        <f t="shared" si="4"/>
        <v>132</v>
      </c>
      <c r="K27" s="76">
        <f t="shared" si="5"/>
        <v>4092</v>
      </c>
      <c r="L27" s="74">
        <v>0</v>
      </c>
      <c r="M27" s="75">
        <f t="shared" si="6"/>
        <v>102</v>
      </c>
      <c r="N27" s="76">
        <f t="shared" si="7"/>
        <v>0</v>
      </c>
      <c r="O27" s="74">
        <v>0</v>
      </c>
      <c r="P27" s="75">
        <f t="shared" si="8"/>
        <v>92</v>
      </c>
      <c r="Q27" s="76">
        <f t="shared" si="9"/>
        <v>0</v>
      </c>
      <c r="R27" s="77">
        <f t="shared" si="10"/>
        <v>43.5</v>
      </c>
      <c r="S27" s="78">
        <f t="shared" si="11"/>
        <v>6167</v>
      </c>
      <c r="T27" s="79" t="str">
        <f t="shared" si="12"/>
        <v/>
      </c>
    </row>
    <row r="28" spans="2:20" s="80" customFormat="1" x14ac:dyDescent="0.3">
      <c r="B28" s="39" t="s">
        <v>180</v>
      </c>
      <c r="C28" s="73" t="s">
        <v>11</v>
      </c>
      <c r="D28" s="137" t="str">
        <f t="shared" si="0"/>
        <v>Beit Berl College</v>
      </c>
      <c r="E28" s="137" t="str">
        <f t="shared" si="1"/>
        <v>Israel</v>
      </c>
      <c r="F28" s="74">
        <v>3</v>
      </c>
      <c r="G28" s="75">
        <f t="shared" si="2"/>
        <v>166</v>
      </c>
      <c r="H28" s="76">
        <f t="shared" si="3"/>
        <v>498</v>
      </c>
      <c r="I28" s="74">
        <v>0</v>
      </c>
      <c r="J28" s="75">
        <f t="shared" si="4"/>
        <v>132</v>
      </c>
      <c r="K28" s="76">
        <f t="shared" si="5"/>
        <v>0</v>
      </c>
      <c r="L28" s="74">
        <v>0</v>
      </c>
      <c r="M28" s="75">
        <f t="shared" si="6"/>
        <v>102</v>
      </c>
      <c r="N28" s="76">
        <f t="shared" si="7"/>
        <v>0</v>
      </c>
      <c r="O28" s="74">
        <v>18</v>
      </c>
      <c r="P28" s="75">
        <f t="shared" si="8"/>
        <v>92</v>
      </c>
      <c r="Q28" s="76">
        <f t="shared" si="9"/>
        <v>1656</v>
      </c>
      <c r="R28" s="77">
        <f t="shared" si="10"/>
        <v>21</v>
      </c>
      <c r="S28" s="78">
        <f t="shared" si="11"/>
        <v>2154</v>
      </c>
      <c r="T28" s="79" t="str">
        <f t="shared" si="12"/>
        <v/>
      </c>
    </row>
    <row r="29" spans="2:20" s="80" customFormat="1" x14ac:dyDescent="0.3">
      <c r="B29" s="39" t="s">
        <v>179</v>
      </c>
      <c r="C29" s="73" t="s">
        <v>12</v>
      </c>
      <c r="D29" s="137" t="str">
        <f t="shared" si="0"/>
        <v>Kaye Academic College of Education</v>
      </c>
      <c r="E29" s="137" t="str">
        <f t="shared" si="1"/>
        <v>Israel</v>
      </c>
      <c r="F29" s="74">
        <v>15.5</v>
      </c>
      <c r="G29" s="75">
        <f t="shared" si="2"/>
        <v>166</v>
      </c>
      <c r="H29" s="76">
        <f t="shared" si="3"/>
        <v>2573</v>
      </c>
      <c r="I29" s="74">
        <v>32</v>
      </c>
      <c r="J29" s="75">
        <f t="shared" si="4"/>
        <v>132</v>
      </c>
      <c r="K29" s="76">
        <f t="shared" si="5"/>
        <v>4224</v>
      </c>
      <c r="L29" s="74">
        <v>0</v>
      </c>
      <c r="M29" s="75">
        <f t="shared" si="6"/>
        <v>102</v>
      </c>
      <c r="N29" s="76">
        <f t="shared" si="7"/>
        <v>0</v>
      </c>
      <c r="O29" s="74">
        <v>3</v>
      </c>
      <c r="P29" s="75">
        <f t="shared" si="8"/>
        <v>92</v>
      </c>
      <c r="Q29" s="76">
        <f t="shared" si="9"/>
        <v>276</v>
      </c>
      <c r="R29" s="77">
        <f t="shared" si="10"/>
        <v>50.5</v>
      </c>
      <c r="S29" s="78">
        <f t="shared" si="11"/>
        <v>7073</v>
      </c>
      <c r="T29" s="79" t="str">
        <f t="shared" si="12"/>
        <v/>
      </c>
    </row>
    <row r="30" spans="2:20" s="80" customFormat="1" x14ac:dyDescent="0.3">
      <c r="B30" s="39" t="s">
        <v>178</v>
      </c>
      <c r="C30" s="73" t="s">
        <v>12</v>
      </c>
      <c r="D30" s="137" t="str">
        <f t="shared" si="0"/>
        <v>Kaye Academic College of Education</v>
      </c>
      <c r="E30" s="137" t="str">
        <f t="shared" si="1"/>
        <v>Israel</v>
      </c>
      <c r="F30" s="74">
        <v>24</v>
      </c>
      <c r="G30" s="75">
        <f t="shared" si="2"/>
        <v>166</v>
      </c>
      <c r="H30" s="76">
        <f t="shared" si="3"/>
        <v>3984</v>
      </c>
      <c r="I30" s="74">
        <v>129.5</v>
      </c>
      <c r="J30" s="75">
        <f t="shared" si="4"/>
        <v>132</v>
      </c>
      <c r="K30" s="76">
        <f t="shared" si="5"/>
        <v>17094</v>
      </c>
      <c r="L30" s="74">
        <v>0</v>
      </c>
      <c r="M30" s="75">
        <f t="shared" si="6"/>
        <v>102</v>
      </c>
      <c r="N30" s="76">
        <f t="shared" si="7"/>
        <v>0</v>
      </c>
      <c r="O30" s="74">
        <v>4</v>
      </c>
      <c r="P30" s="75">
        <f t="shared" si="8"/>
        <v>92</v>
      </c>
      <c r="Q30" s="76">
        <f t="shared" si="9"/>
        <v>368</v>
      </c>
      <c r="R30" s="77">
        <f t="shared" si="10"/>
        <v>157.5</v>
      </c>
      <c r="S30" s="78">
        <f t="shared" si="11"/>
        <v>21446</v>
      </c>
      <c r="T30" s="79" t="str">
        <f t="shared" si="12"/>
        <v/>
      </c>
    </row>
    <row r="31" spans="2:20" s="80" customFormat="1" x14ac:dyDescent="0.3">
      <c r="B31" s="39" t="s">
        <v>366</v>
      </c>
      <c r="C31" s="73" t="s">
        <v>12</v>
      </c>
      <c r="D31" s="137" t="str">
        <f t="shared" si="0"/>
        <v>Kaye Academic College of Education</v>
      </c>
      <c r="E31" s="137" t="str">
        <f t="shared" si="1"/>
        <v>Israel</v>
      </c>
      <c r="F31" s="74">
        <v>8</v>
      </c>
      <c r="G31" s="75">
        <f t="shared" si="2"/>
        <v>166</v>
      </c>
      <c r="H31" s="76">
        <f t="shared" si="3"/>
        <v>1328</v>
      </c>
      <c r="I31" s="74">
        <v>17.5</v>
      </c>
      <c r="J31" s="75">
        <f t="shared" si="4"/>
        <v>132</v>
      </c>
      <c r="K31" s="76">
        <f t="shared" si="5"/>
        <v>2310</v>
      </c>
      <c r="L31" s="74">
        <v>0</v>
      </c>
      <c r="M31" s="75">
        <f t="shared" si="6"/>
        <v>102</v>
      </c>
      <c r="N31" s="76">
        <f t="shared" si="7"/>
        <v>0</v>
      </c>
      <c r="O31" s="74">
        <v>0</v>
      </c>
      <c r="P31" s="75">
        <f t="shared" si="8"/>
        <v>92</v>
      </c>
      <c r="Q31" s="76">
        <f t="shared" si="9"/>
        <v>0</v>
      </c>
      <c r="R31" s="77">
        <f t="shared" si="10"/>
        <v>25.5</v>
      </c>
      <c r="S31" s="78">
        <f t="shared" si="11"/>
        <v>3638</v>
      </c>
      <c r="T31" s="79" t="str">
        <f t="shared" si="12"/>
        <v/>
      </c>
    </row>
    <row r="32" spans="2:20" s="80" customFormat="1" x14ac:dyDescent="0.3">
      <c r="B32" s="39" t="s">
        <v>372</v>
      </c>
      <c r="C32" s="73" t="s">
        <v>12</v>
      </c>
      <c r="D32" s="137" t="str">
        <f t="shared" si="0"/>
        <v>Kaye Academic College of Education</v>
      </c>
      <c r="E32" s="137" t="str">
        <f t="shared" si="1"/>
        <v>Israel</v>
      </c>
      <c r="F32" s="74">
        <v>19</v>
      </c>
      <c r="G32" s="75">
        <f t="shared" si="2"/>
        <v>166</v>
      </c>
      <c r="H32" s="76">
        <f t="shared" si="3"/>
        <v>3154</v>
      </c>
      <c r="I32" s="74">
        <v>43</v>
      </c>
      <c r="J32" s="75">
        <f t="shared" si="4"/>
        <v>132</v>
      </c>
      <c r="K32" s="76">
        <f t="shared" si="5"/>
        <v>5676</v>
      </c>
      <c r="L32" s="74">
        <v>0</v>
      </c>
      <c r="M32" s="75">
        <f t="shared" si="6"/>
        <v>102</v>
      </c>
      <c r="N32" s="76">
        <f t="shared" si="7"/>
        <v>0</v>
      </c>
      <c r="O32" s="74">
        <v>0</v>
      </c>
      <c r="P32" s="75">
        <f t="shared" si="8"/>
        <v>92</v>
      </c>
      <c r="Q32" s="76">
        <f t="shared" si="9"/>
        <v>0</v>
      </c>
      <c r="R32" s="77">
        <f t="shared" si="10"/>
        <v>62</v>
      </c>
      <c r="S32" s="78">
        <f t="shared" si="11"/>
        <v>8830</v>
      </c>
      <c r="T32" s="79" t="str">
        <f t="shared" si="12"/>
        <v/>
      </c>
    </row>
    <row r="33" spans="2:20" s="80" customFormat="1" x14ac:dyDescent="0.3">
      <c r="B33" s="39" t="s">
        <v>180</v>
      </c>
      <c r="C33" s="73" t="s">
        <v>12</v>
      </c>
      <c r="D33" s="137" t="str">
        <f t="shared" si="0"/>
        <v>Kaye Academic College of Education</v>
      </c>
      <c r="E33" s="137" t="str">
        <f t="shared" si="1"/>
        <v>Israel</v>
      </c>
      <c r="F33" s="74">
        <v>3</v>
      </c>
      <c r="G33" s="75">
        <f t="shared" si="2"/>
        <v>166</v>
      </c>
      <c r="H33" s="76">
        <f t="shared" si="3"/>
        <v>498</v>
      </c>
      <c r="I33" s="74">
        <v>0</v>
      </c>
      <c r="J33" s="75">
        <f t="shared" si="4"/>
        <v>132</v>
      </c>
      <c r="K33" s="76">
        <f t="shared" si="5"/>
        <v>0</v>
      </c>
      <c r="L33" s="74">
        <v>0</v>
      </c>
      <c r="M33" s="75">
        <f t="shared" si="6"/>
        <v>102</v>
      </c>
      <c r="N33" s="76">
        <f t="shared" si="7"/>
        <v>0</v>
      </c>
      <c r="O33" s="74">
        <v>18</v>
      </c>
      <c r="P33" s="75">
        <f t="shared" si="8"/>
        <v>92</v>
      </c>
      <c r="Q33" s="76">
        <f t="shared" si="9"/>
        <v>1656</v>
      </c>
      <c r="R33" s="77">
        <f t="shared" si="10"/>
        <v>21</v>
      </c>
      <c r="S33" s="78">
        <f t="shared" si="11"/>
        <v>2154</v>
      </c>
      <c r="T33" s="79" t="str">
        <f t="shared" si="12"/>
        <v/>
      </c>
    </row>
    <row r="34" spans="2:20" s="80" customFormat="1" x14ac:dyDescent="0.3">
      <c r="B34" s="39" t="s">
        <v>179</v>
      </c>
      <c r="C34" s="73" t="s">
        <v>13</v>
      </c>
      <c r="D34" s="137" t="str">
        <f t="shared" si="0"/>
        <v>University of Bucharest</v>
      </c>
      <c r="E34" s="137" t="str">
        <f t="shared" si="1"/>
        <v>Romania</v>
      </c>
      <c r="F34" s="74">
        <v>0</v>
      </c>
      <c r="G34" s="75">
        <f t="shared" si="2"/>
        <v>88</v>
      </c>
      <c r="H34" s="76">
        <f t="shared" si="3"/>
        <v>0</v>
      </c>
      <c r="I34" s="74">
        <v>116.5</v>
      </c>
      <c r="J34" s="75">
        <f t="shared" si="4"/>
        <v>74</v>
      </c>
      <c r="K34" s="76">
        <f t="shared" si="5"/>
        <v>8621</v>
      </c>
      <c r="L34" s="74">
        <v>0</v>
      </c>
      <c r="M34" s="75">
        <f t="shared" si="6"/>
        <v>55</v>
      </c>
      <c r="N34" s="76">
        <f t="shared" si="7"/>
        <v>0</v>
      </c>
      <c r="O34" s="74">
        <v>0</v>
      </c>
      <c r="P34" s="75">
        <f t="shared" si="8"/>
        <v>39</v>
      </c>
      <c r="Q34" s="76">
        <f t="shared" si="9"/>
        <v>0</v>
      </c>
      <c r="R34" s="77">
        <f t="shared" si="10"/>
        <v>116.5</v>
      </c>
      <c r="S34" s="78">
        <f t="shared" si="11"/>
        <v>8621</v>
      </c>
      <c r="T34" s="79" t="str">
        <f t="shared" si="12"/>
        <v/>
      </c>
    </row>
    <row r="35" spans="2:20" s="80" customFormat="1" x14ac:dyDescent="0.3">
      <c r="B35" s="39" t="s">
        <v>178</v>
      </c>
      <c r="C35" s="73" t="s">
        <v>13</v>
      </c>
      <c r="D35" s="137" t="str">
        <f t="shared" si="0"/>
        <v>University of Bucharest</v>
      </c>
      <c r="E35" s="137" t="str">
        <f t="shared" si="1"/>
        <v>Romania</v>
      </c>
      <c r="F35" s="74">
        <v>0</v>
      </c>
      <c r="G35" s="75">
        <f t="shared" si="2"/>
        <v>88</v>
      </c>
      <c r="H35" s="76">
        <f t="shared" si="3"/>
        <v>0</v>
      </c>
      <c r="I35" s="74">
        <v>213.5</v>
      </c>
      <c r="J35" s="75">
        <f t="shared" si="4"/>
        <v>74</v>
      </c>
      <c r="K35" s="76">
        <f t="shared" si="5"/>
        <v>15799</v>
      </c>
      <c r="L35" s="74">
        <v>0</v>
      </c>
      <c r="M35" s="75">
        <f t="shared" si="6"/>
        <v>55</v>
      </c>
      <c r="N35" s="76">
        <f t="shared" si="7"/>
        <v>0</v>
      </c>
      <c r="O35" s="74">
        <v>0</v>
      </c>
      <c r="P35" s="75">
        <f t="shared" si="8"/>
        <v>39</v>
      </c>
      <c r="Q35" s="76">
        <f t="shared" si="9"/>
        <v>0</v>
      </c>
      <c r="R35" s="77">
        <f t="shared" si="10"/>
        <v>213.5</v>
      </c>
      <c r="S35" s="78">
        <f t="shared" si="11"/>
        <v>15799</v>
      </c>
      <c r="T35" s="79" t="str">
        <f t="shared" si="12"/>
        <v/>
      </c>
    </row>
    <row r="36" spans="2:20" s="80" customFormat="1" x14ac:dyDescent="0.3">
      <c r="B36" s="39" t="s">
        <v>366</v>
      </c>
      <c r="C36" s="73" t="s">
        <v>13</v>
      </c>
      <c r="D36" s="137" t="str">
        <f t="shared" si="0"/>
        <v>University of Bucharest</v>
      </c>
      <c r="E36" s="137" t="str">
        <f t="shared" si="1"/>
        <v>Romania</v>
      </c>
      <c r="F36" s="74">
        <v>0</v>
      </c>
      <c r="G36" s="75">
        <f t="shared" si="2"/>
        <v>88</v>
      </c>
      <c r="H36" s="76">
        <f t="shared" si="3"/>
        <v>0</v>
      </c>
      <c r="I36" s="74">
        <v>47</v>
      </c>
      <c r="J36" s="75">
        <f t="shared" si="4"/>
        <v>74</v>
      </c>
      <c r="K36" s="76">
        <f t="shared" si="5"/>
        <v>3478</v>
      </c>
      <c r="L36" s="74">
        <v>0</v>
      </c>
      <c r="M36" s="75">
        <f t="shared" si="6"/>
        <v>55</v>
      </c>
      <c r="N36" s="76">
        <f t="shared" si="7"/>
        <v>0</v>
      </c>
      <c r="O36" s="74">
        <v>0</v>
      </c>
      <c r="P36" s="75">
        <f t="shared" si="8"/>
        <v>39</v>
      </c>
      <c r="Q36" s="76">
        <f t="shared" si="9"/>
        <v>0</v>
      </c>
      <c r="R36" s="77">
        <f t="shared" si="10"/>
        <v>47</v>
      </c>
      <c r="S36" s="78">
        <f t="shared" si="11"/>
        <v>3478</v>
      </c>
      <c r="T36" s="79" t="str">
        <f t="shared" si="12"/>
        <v/>
      </c>
    </row>
    <row r="37" spans="2:20" s="80" customFormat="1" x14ac:dyDescent="0.3">
      <c r="B37" s="39" t="s">
        <v>372</v>
      </c>
      <c r="C37" s="73" t="s">
        <v>13</v>
      </c>
      <c r="D37" s="137" t="str">
        <f t="shared" si="0"/>
        <v>University of Bucharest</v>
      </c>
      <c r="E37" s="137" t="str">
        <f t="shared" si="1"/>
        <v>Romania</v>
      </c>
      <c r="F37" s="74">
        <v>0</v>
      </c>
      <c r="G37" s="75">
        <f t="shared" si="2"/>
        <v>88</v>
      </c>
      <c r="H37" s="76">
        <f t="shared" si="3"/>
        <v>0</v>
      </c>
      <c r="I37" s="74">
        <v>70</v>
      </c>
      <c r="J37" s="75">
        <f t="shared" si="4"/>
        <v>74</v>
      </c>
      <c r="K37" s="76">
        <f t="shared" si="5"/>
        <v>5180</v>
      </c>
      <c r="L37" s="74">
        <v>0</v>
      </c>
      <c r="M37" s="75">
        <f t="shared" si="6"/>
        <v>55</v>
      </c>
      <c r="N37" s="76">
        <f t="shared" si="7"/>
        <v>0</v>
      </c>
      <c r="O37" s="74">
        <v>0</v>
      </c>
      <c r="P37" s="75">
        <f t="shared" si="8"/>
        <v>39</v>
      </c>
      <c r="Q37" s="76">
        <f t="shared" si="9"/>
        <v>0</v>
      </c>
      <c r="R37" s="77">
        <f t="shared" si="10"/>
        <v>70</v>
      </c>
      <c r="S37" s="78">
        <f t="shared" si="11"/>
        <v>5180</v>
      </c>
      <c r="T37" s="79" t="str">
        <f t="shared" si="12"/>
        <v/>
      </c>
    </row>
    <row r="38" spans="2:20" s="80" customFormat="1" x14ac:dyDescent="0.3">
      <c r="B38" s="39" t="s">
        <v>180</v>
      </c>
      <c r="C38" s="73" t="s">
        <v>13</v>
      </c>
      <c r="D38" s="137" t="str">
        <f t="shared" si="0"/>
        <v>University of Bucharest</v>
      </c>
      <c r="E38" s="137" t="str">
        <f t="shared" si="1"/>
        <v>Romania</v>
      </c>
      <c r="F38" s="74">
        <v>4.5</v>
      </c>
      <c r="G38" s="75">
        <f t="shared" si="2"/>
        <v>88</v>
      </c>
      <c r="H38" s="76">
        <f t="shared" si="3"/>
        <v>396</v>
      </c>
      <c r="I38" s="74">
        <v>0</v>
      </c>
      <c r="J38" s="75">
        <f t="shared" si="4"/>
        <v>74</v>
      </c>
      <c r="K38" s="76">
        <f t="shared" si="5"/>
        <v>0</v>
      </c>
      <c r="L38" s="74">
        <v>0</v>
      </c>
      <c r="M38" s="75">
        <f t="shared" si="6"/>
        <v>55</v>
      </c>
      <c r="N38" s="76">
        <f t="shared" si="7"/>
        <v>0</v>
      </c>
      <c r="O38" s="74">
        <v>27</v>
      </c>
      <c r="P38" s="75">
        <f t="shared" si="8"/>
        <v>39</v>
      </c>
      <c r="Q38" s="76">
        <f t="shared" si="9"/>
        <v>1053</v>
      </c>
      <c r="R38" s="77">
        <f t="shared" si="10"/>
        <v>31.5</v>
      </c>
      <c r="S38" s="78">
        <f t="shared" si="11"/>
        <v>1449</v>
      </c>
      <c r="T38" s="79" t="str">
        <f t="shared" si="12"/>
        <v/>
      </c>
    </row>
    <row r="39" spans="2:20" s="80" customFormat="1" x14ac:dyDescent="0.3">
      <c r="B39" s="39" t="s">
        <v>179</v>
      </c>
      <c r="C39" s="73" t="s">
        <v>14</v>
      </c>
      <c r="D39" s="137" t="str">
        <f t="shared" si="0"/>
        <v>The University of Exeter</v>
      </c>
      <c r="E39" s="137" t="str">
        <f t="shared" si="1"/>
        <v>United Kingdom</v>
      </c>
      <c r="F39" s="74">
        <v>0</v>
      </c>
      <c r="G39" s="75">
        <f t="shared" si="2"/>
        <v>280</v>
      </c>
      <c r="H39" s="76">
        <f t="shared" si="3"/>
        <v>0</v>
      </c>
      <c r="I39" s="74">
        <v>36</v>
      </c>
      <c r="J39" s="75">
        <f t="shared" si="4"/>
        <v>214</v>
      </c>
      <c r="K39" s="76">
        <f t="shared" si="5"/>
        <v>7704</v>
      </c>
      <c r="L39" s="74">
        <v>0</v>
      </c>
      <c r="M39" s="75">
        <f t="shared" si="6"/>
        <v>162</v>
      </c>
      <c r="N39" s="76">
        <f t="shared" si="7"/>
        <v>0</v>
      </c>
      <c r="O39" s="74">
        <v>0</v>
      </c>
      <c r="P39" s="75">
        <f t="shared" si="8"/>
        <v>131</v>
      </c>
      <c r="Q39" s="76">
        <f t="shared" si="9"/>
        <v>0</v>
      </c>
      <c r="R39" s="77">
        <f t="shared" si="10"/>
        <v>36</v>
      </c>
      <c r="S39" s="78">
        <f t="shared" si="11"/>
        <v>7704</v>
      </c>
      <c r="T39" s="79" t="str">
        <f t="shared" si="12"/>
        <v/>
      </c>
    </row>
    <row r="40" spans="2:20" s="80" customFormat="1" x14ac:dyDescent="0.3">
      <c r="B40" s="39" t="s">
        <v>178</v>
      </c>
      <c r="C40" s="73" t="s">
        <v>14</v>
      </c>
      <c r="D40" s="137" t="str">
        <f t="shared" si="0"/>
        <v>The University of Exeter</v>
      </c>
      <c r="E40" s="137" t="str">
        <f t="shared" si="1"/>
        <v>United Kingdom</v>
      </c>
      <c r="F40" s="74">
        <v>0</v>
      </c>
      <c r="G40" s="75">
        <f t="shared" si="2"/>
        <v>280</v>
      </c>
      <c r="H40" s="76">
        <f t="shared" si="3"/>
        <v>0</v>
      </c>
      <c r="I40" s="74">
        <v>66.5</v>
      </c>
      <c r="J40" s="75">
        <f t="shared" si="4"/>
        <v>214</v>
      </c>
      <c r="K40" s="76">
        <f t="shared" si="5"/>
        <v>14231</v>
      </c>
      <c r="L40" s="74">
        <v>0</v>
      </c>
      <c r="M40" s="75">
        <f t="shared" si="6"/>
        <v>162</v>
      </c>
      <c r="N40" s="76">
        <f t="shared" si="7"/>
        <v>0</v>
      </c>
      <c r="O40" s="74">
        <v>0</v>
      </c>
      <c r="P40" s="75">
        <f t="shared" si="8"/>
        <v>131</v>
      </c>
      <c r="Q40" s="76">
        <f t="shared" si="9"/>
        <v>0</v>
      </c>
      <c r="R40" s="77">
        <f t="shared" si="10"/>
        <v>66.5</v>
      </c>
      <c r="S40" s="78">
        <f t="shared" si="11"/>
        <v>14231</v>
      </c>
      <c r="T40" s="79" t="str">
        <f t="shared" si="12"/>
        <v/>
      </c>
    </row>
    <row r="41" spans="2:20" s="80" customFormat="1" x14ac:dyDescent="0.3">
      <c r="B41" s="39" t="s">
        <v>366</v>
      </c>
      <c r="C41" s="73" t="s">
        <v>14</v>
      </c>
      <c r="D41" s="137" t="str">
        <f t="shared" si="0"/>
        <v>The University of Exeter</v>
      </c>
      <c r="E41" s="137" t="str">
        <f t="shared" si="1"/>
        <v>United Kingdom</v>
      </c>
      <c r="F41" s="74">
        <v>0</v>
      </c>
      <c r="G41" s="75">
        <f t="shared" si="2"/>
        <v>280</v>
      </c>
      <c r="H41" s="76">
        <f t="shared" si="3"/>
        <v>0</v>
      </c>
      <c r="I41" s="74">
        <v>14</v>
      </c>
      <c r="J41" s="75">
        <f t="shared" si="4"/>
        <v>214</v>
      </c>
      <c r="K41" s="76">
        <f t="shared" si="5"/>
        <v>2996</v>
      </c>
      <c r="L41" s="74">
        <v>0</v>
      </c>
      <c r="M41" s="75">
        <f t="shared" si="6"/>
        <v>162</v>
      </c>
      <c r="N41" s="76">
        <f t="shared" si="7"/>
        <v>0</v>
      </c>
      <c r="O41" s="74">
        <v>0</v>
      </c>
      <c r="P41" s="75">
        <f t="shared" si="8"/>
        <v>131</v>
      </c>
      <c r="Q41" s="76">
        <f t="shared" si="9"/>
        <v>0</v>
      </c>
      <c r="R41" s="77">
        <f t="shared" si="10"/>
        <v>14</v>
      </c>
      <c r="S41" s="78">
        <f t="shared" si="11"/>
        <v>2996</v>
      </c>
      <c r="T41" s="79" t="str">
        <f t="shared" si="12"/>
        <v/>
      </c>
    </row>
    <row r="42" spans="2:20" s="80" customFormat="1" x14ac:dyDescent="0.3">
      <c r="B42" s="39" t="s">
        <v>372</v>
      </c>
      <c r="C42" s="73" t="s">
        <v>14</v>
      </c>
      <c r="D42" s="137" t="str">
        <f t="shared" si="0"/>
        <v>The University of Exeter</v>
      </c>
      <c r="E42" s="137" t="str">
        <f t="shared" si="1"/>
        <v>United Kingdom</v>
      </c>
      <c r="F42" s="74">
        <v>0</v>
      </c>
      <c r="G42" s="75">
        <f t="shared" si="2"/>
        <v>280</v>
      </c>
      <c r="H42" s="76">
        <f t="shared" si="3"/>
        <v>0</v>
      </c>
      <c r="I42" s="74">
        <v>23.5</v>
      </c>
      <c r="J42" s="75">
        <f t="shared" si="4"/>
        <v>214</v>
      </c>
      <c r="K42" s="76">
        <f t="shared" si="5"/>
        <v>5029</v>
      </c>
      <c r="L42" s="74">
        <v>0</v>
      </c>
      <c r="M42" s="75">
        <f t="shared" si="6"/>
        <v>162</v>
      </c>
      <c r="N42" s="76">
        <f t="shared" si="7"/>
        <v>0</v>
      </c>
      <c r="O42" s="74">
        <v>0</v>
      </c>
      <c r="P42" s="75">
        <f t="shared" si="8"/>
        <v>131</v>
      </c>
      <c r="Q42" s="76">
        <f t="shared" si="9"/>
        <v>0</v>
      </c>
      <c r="R42" s="77">
        <f t="shared" si="10"/>
        <v>23.5</v>
      </c>
      <c r="S42" s="78">
        <f t="shared" si="11"/>
        <v>5029</v>
      </c>
      <c r="T42" s="79" t="str">
        <f t="shared" si="12"/>
        <v/>
      </c>
    </row>
    <row r="43" spans="2:20" s="80" customFormat="1" x14ac:dyDescent="0.3">
      <c r="B43" s="39" t="s">
        <v>180</v>
      </c>
      <c r="C43" s="73" t="s">
        <v>14</v>
      </c>
      <c r="D43" s="137" t="str">
        <f t="shared" si="0"/>
        <v>The University of Exeter</v>
      </c>
      <c r="E43" s="137" t="str">
        <f t="shared" si="1"/>
        <v>United Kingdom</v>
      </c>
      <c r="F43" s="74">
        <v>11</v>
      </c>
      <c r="G43" s="75">
        <f t="shared" si="2"/>
        <v>280</v>
      </c>
      <c r="H43" s="76">
        <f t="shared" si="3"/>
        <v>3080</v>
      </c>
      <c r="I43" s="74">
        <v>4.5</v>
      </c>
      <c r="J43" s="75">
        <f t="shared" si="4"/>
        <v>214</v>
      </c>
      <c r="K43" s="76">
        <f t="shared" si="5"/>
        <v>963</v>
      </c>
      <c r="L43" s="74">
        <v>0</v>
      </c>
      <c r="M43" s="75">
        <f t="shared" si="6"/>
        <v>162</v>
      </c>
      <c r="N43" s="76">
        <f t="shared" si="7"/>
        <v>0</v>
      </c>
      <c r="O43" s="74">
        <v>4.5</v>
      </c>
      <c r="P43" s="75">
        <f t="shared" si="8"/>
        <v>131</v>
      </c>
      <c r="Q43" s="76">
        <f t="shared" si="9"/>
        <v>589.5</v>
      </c>
      <c r="R43" s="77">
        <f t="shared" si="10"/>
        <v>20</v>
      </c>
      <c r="S43" s="78">
        <f t="shared" si="11"/>
        <v>4632.5</v>
      </c>
      <c r="T43" s="79" t="str">
        <f t="shared" si="12"/>
        <v/>
      </c>
    </row>
    <row r="44" spans="2:20" s="80" customFormat="1" x14ac:dyDescent="0.3">
      <c r="B44" s="39" t="s">
        <v>179</v>
      </c>
      <c r="C44" s="73" t="s">
        <v>15</v>
      </c>
      <c r="D44" s="137" t="str">
        <f t="shared" si="0"/>
        <v>Tallinn University</v>
      </c>
      <c r="E44" s="137" t="str">
        <f t="shared" si="1"/>
        <v>Estonia</v>
      </c>
      <c r="F44" s="74">
        <v>0</v>
      </c>
      <c r="G44" s="75">
        <f t="shared" si="2"/>
        <v>88</v>
      </c>
      <c r="H44" s="76">
        <f t="shared" si="3"/>
        <v>0</v>
      </c>
      <c r="I44" s="74">
        <v>116.5</v>
      </c>
      <c r="J44" s="75">
        <f t="shared" si="4"/>
        <v>74</v>
      </c>
      <c r="K44" s="76">
        <f t="shared" si="5"/>
        <v>8621</v>
      </c>
      <c r="L44" s="74">
        <v>0</v>
      </c>
      <c r="M44" s="75">
        <f t="shared" si="6"/>
        <v>55</v>
      </c>
      <c r="N44" s="76">
        <f t="shared" si="7"/>
        <v>0</v>
      </c>
      <c r="O44" s="74">
        <v>0</v>
      </c>
      <c r="P44" s="75">
        <f t="shared" si="8"/>
        <v>39</v>
      </c>
      <c r="Q44" s="76">
        <f t="shared" si="9"/>
        <v>0</v>
      </c>
      <c r="R44" s="77">
        <f t="shared" si="10"/>
        <v>116.5</v>
      </c>
      <c r="S44" s="78">
        <f t="shared" si="11"/>
        <v>8621</v>
      </c>
      <c r="T44" s="79" t="str">
        <f t="shared" si="12"/>
        <v/>
      </c>
    </row>
    <row r="45" spans="2:20" s="80" customFormat="1" x14ac:dyDescent="0.3">
      <c r="B45" s="39" t="s">
        <v>178</v>
      </c>
      <c r="C45" s="73" t="s">
        <v>15</v>
      </c>
      <c r="D45" s="137" t="str">
        <f t="shared" ref="D45:D72" si="13">IFERROR(IF(VLOOKUP(C45,PartnerN°Ref,2,FALSE)=0,"",VLOOKUP(C45,PartnerN°Ref,2,FALSE)),"")</f>
        <v>Tallinn University</v>
      </c>
      <c r="E45" s="137" t="str">
        <f t="shared" ref="E45:E72" si="14">IFERROR(IF(OR(VLOOKUP(C45,PartnerN°Ref,4,FALSE)="Country not found",VLOOKUP(C45,PartnerN°Ref,3,FALSE)=0),"",VLOOKUP(C45,PartnerN°Ref,3,FALSE)),"")</f>
        <v>Estonia</v>
      </c>
      <c r="F45" s="74">
        <v>0</v>
      </c>
      <c r="G45" s="75">
        <f t="shared" ref="G45:G72" si="15">IF(T45="Error",0,INDEX(Rates,MATCH(E45,CountryALL,0),MATCH($F$11,Category,0)))</f>
        <v>88</v>
      </c>
      <c r="H45" s="76">
        <f t="shared" ref="H45:H72" si="16">IFERROR(IF(T45="Error",0,ROUND(F45*G45,2)),0)</f>
        <v>0</v>
      </c>
      <c r="I45" s="74">
        <v>213.5</v>
      </c>
      <c r="J45" s="75">
        <f t="shared" ref="J45:J72" si="17">IF(T45="Error",0,INDEX(Rates,MATCH(E45,CountryALL,0),MATCH($I$11,Category,0)))</f>
        <v>74</v>
      </c>
      <c r="K45" s="76">
        <f t="shared" ref="K45:K72" si="18">IFERROR(IF(T45="Error",0,ROUND(I45*J45,2)),0)</f>
        <v>15799</v>
      </c>
      <c r="L45" s="74">
        <v>0</v>
      </c>
      <c r="M45" s="75">
        <f t="shared" ref="M45:M72" si="19">IF(T45="Error",0,INDEX(Rates,MATCH(E45,CountryALL,0),MATCH($L$11,Category,0)))</f>
        <v>55</v>
      </c>
      <c r="N45" s="76">
        <f t="shared" ref="N45:N72" si="20">IFERROR(IF(T45="Error",0,ROUND(L45*M45,2)),0)</f>
        <v>0</v>
      </c>
      <c r="O45" s="74">
        <v>0</v>
      </c>
      <c r="P45" s="75">
        <f t="shared" ref="P45:P72" si="21">IF(T45="Error",0,INDEX(Rates,MATCH(E45,CountryALL,0),MATCH($O$11,Category,0)))</f>
        <v>39</v>
      </c>
      <c r="Q45" s="76">
        <f t="shared" ref="Q45:Q72" si="22">IFERROR(IF(T45="Error",0,ROUND(O45*P45,2)),0)</f>
        <v>0</v>
      </c>
      <c r="R45" s="77">
        <f t="shared" ref="R45:R72" si="23">IF(T45="Error",0,F45+I45+L45+O45)</f>
        <v>213.5</v>
      </c>
      <c r="S45" s="78">
        <f t="shared" ref="S45:S72" si="24">IF(T45="Error",0,H45+K45+N45+Q45)</f>
        <v>15799</v>
      </c>
      <c r="T45" s="79" t="str">
        <f t="shared" ref="T45:T72" si="25">IF(OR(COUNTIF(WorkPackage,B45)=0,COUNTIF(PartnerN°,C45)=0,D45="",COUNTIF(CountryALL,E45)=0,ISNUMBER(F45)=FALSE,ISNUMBER(I45)=FALSE,ISNUMBER(L45)=FALSE,ISNUMBER(O45)=FALSE,IF(ISNUMBER(F45)=TRUE,F45=INT(F45*10)/10=FALSE),IF(ISNUMBER(I45)=TRUE,I45=INT(I45*10)/10=FALSE),IF(ISNUMBER(L45)=TRUE,L45=INT(L45*10)/10=FALSE),IF(ISNUMBER(O45)=TRUE,O45=INT(O45*10)/10=FALSE)),"Error","")</f>
        <v/>
      </c>
    </row>
    <row r="46" spans="2:20" s="80" customFormat="1" x14ac:dyDescent="0.3">
      <c r="B46" s="39" t="s">
        <v>366</v>
      </c>
      <c r="C46" s="73" t="s">
        <v>15</v>
      </c>
      <c r="D46" s="137" t="str">
        <f t="shared" si="13"/>
        <v>Tallinn University</v>
      </c>
      <c r="E46" s="137" t="str">
        <f t="shared" si="14"/>
        <v>Estonia</v>
      </c>
      <c r="F46" s="74">
        <v>0</v>
      </c>
      <c r="G46" s="75">
        <f t="shared" si="15"/>
        <v>88</v>
      </c>
      <c r="H46" s="76">
        <f t="shared" si="16"/>
        <v>0</v>
      </c>
      <c r="I46" s="74">
        <v>47</v>
      </c>
      <c r="J46" s="75">
        <f t="shared" si="17"/>
        <v>74</v>
      </c>
      <c r="K46" s="76">
        <f t="shared" si="18"/>
        <v>3478</v>
      </c>
      <c r="L46" s="74">
        <v>0</v>
      </c>
      <c r="M46" s="75">
        <f t="shared" si="19"/>
        <v>55</v>
      </c>
      <c r="N46" s="76">
        <f t="shared" si="20"/>
        <v>0</v>
      </c>
      <c r="O46" s="74">
        <v>0</v>
      </c>
      <c r="P46" s="75">
        <f t="shared" si="21"/>
        <v>39</v>
      </c>
      <c r="Q46" s="76">
        <f t="shared" si="22"/>
        <v>0</v>
      </c>
      <c r="R46" s="77">
        <f t="shared" si="23"/>
        <v>47</v>
      </c>
      <c r="S46" s="78">
        <f t="shared" si="24"/>
        <v>3478</v>
      </c>
      <c r="T46" s="79" t="str">
        <f t="shared" si="25"/>
        <v/>
      </c>
    </row>
    <row r="47" spans="2:20" s="80" customFormat="1" x14ac:dyDescent="0.3">
      <c r="B47" s="39" t="s">
        <v>372</v>
      </c>
      <c r="C47" s="73" t="s">
        <v>15</v>
      </c>
      <c r="D47" s="137" t="str">
        <f t="shared" si="13"/>
        <v>Tallinn University</v>
      </c>
      <c r="E47" s="137" t="str">
        <f t="shared" si="14"/>
        <v>Estonia</v>
      </c>
      <c r="F47" s="74">
        <v>0</v>
      </c>
      <c r="G47" s="75">
        <f t="shared" si="15"/>
        <v>88</v>
      </c>
      <c r="H47" s="76">
        <f t="shared" si="16"/>
        <v>0</v>
      </c>
      <c r="I47" s="74">
        <v>70</v>
      </c>
      <c r="J47" s="75">
        <f t="shared" si="17"/>
        <v>74</v>
      </c>
      <c r="K47" s="76">
        <f t="shared" si="18"/>
        <v>5180</v>
      </c>
      <c r="L47" s="74">
        <v>0</v>
      </c>
      <c r="M47" s="75">
        <f t="shared" si="19"/>
        <v>55</v>
      </c>
      <c r="N47" s="76">
        <f t="shared" si="20"/>
        <v>0</v>
      </c>
      <c r="O47" s="74">
        <v>0.5</v>
      </c>
      <c r="P47" s="75">
        <f t="shared" si="21"/>
        <v>39</v>
      </c>
      <c r="Q47" s="76">
        <f t="shared" si="22"/>
        <v>19.5</v>
      </c>
      <c r="R47" s="77">
        <f t="shared" si="23"/>
        <v>70.5</v>
      </c>
      <c r="S47" s="78">
        <f t="shared" si="24"/>
        <v>5199.5</v>
      </c>
      <c r="T47" s="79" t="str">
        <f t="shared" si="25"/>
        <v/>
      </c>
    </row>
    <row r="48" spans="2:20" s="80" customFormat="1" x14ac:dyDescent="0.3">
      <c r="B48" s="39" t="s">
        <v>180</v>
      </c>
      <c r="C48" s="73" t="s">
        <v>15</v>
      </c>
      <c r="D48" s="137" t="str">
        <f t="shared" si="13"/>
        <v>Tallinn University</v>
      </c>
      <c r="E48" s="137" t="str">
        <f t="shared" si="14"/>
        <v>Estonia</v>
      </c>
      <c r="F48" s="74">
        <v>4.5</v>
      </c>
      <c r="G48" s="75">
        <f t="shared" si="15"/>
        <v>88</v>
      </c>
      <c r="H48" s="76">
        <f t="shared" si="16"/>
        <v>396</v>
      </c>
      <c r="I48" s="74">
        <v>0</v>
      </c>
      <c r="J48" s="75">
        <f t="shared" si="17"/>
        <v>74</v>
      </c>
      <c r="K48" s="76">
        <f t="shared" si="18"/>
        <v>0</v>
      </c>
      <c r="L48" s="74">
        <v>0</v>
      </c>
      <c r="M48" s="75">
        <f t="shared" si="19"/>
        <v>55</v>
      </c>
      <c r="N48" s="76">
        <f t="shared" si="20"/>
        <v>0</v>
      </c>
      <c r="O48" s="74">
        <v>27</v>
      </c>
      <c r="P48" s="75">
        <f t="shared" si="21"/>
        <v>39</v>
      </c>
      <c r="Q48" s="76">
        <f t="shared" si="22"/>
        <v>1053</v>
      </c>
      <c r="R48" s="77">
        <f t="shared" si="23"/>
        <v>31.5</v>
      </c>
      <c r="S48" s="78">
        <f t="shared" si="24"/>
        <v>1449</v>
      </c>
      <c r="T48" s="79" t="str">
        <f t="shared" si="25"/>
        <v/>
      </c>
    </row>
    <row r="49" spans="2:20" s="80" customFormat="1" x14ac:dyDescent="0.3">
      <c r="B49" s="39" t="s">
        <v>179</v>
      </c>
      <c r="C49" s="73" t="s">
        <v>16</v>
      </c>
      <c r="D49" s="137" t="str">
        <f t="shared" si="13"/>
        <v>Gordon Academic College of Education</v>
      </c>
      <c r="E49" s="137" t="str">
        <f t="shared" si="14"/>
        <v>Israel</v>
      </c>
      <c r="F49" s="74">
        <v>6</v>
      </c>
      <c r="G49" s="75">
        <f t="shared" si="15"/>
        <v>166</v>
      </c>
      <c r="H49" s="76">
        <f t="shared" si="16"/>
        <v>996</v>
      </c>
      <c r="I49" s="74">
        <v>13</v>
      </c>
      <c r="J49" s="75">
        <f t="shared" si="17"/>
        <v>132</v>
      </c>
      <c r="K49" s="76">
        <f t="shared" si="18"/>
        <v>1716</v>
      </c>
      <c r="L49" s="74">
        <v>0</v>
      </c>
      <c r="M49" s="75">
        <f t="shared" si="19"/>
        <v>102</v>
      </c>
      <c r="N49" s="76">
        <f t="shared" si="20"/>
        <v>0</v>
      </c>
      <c r="O49" s="74">
        <v>0.5</v>
      </c>
      <c r="P49" s="75">
        <f t="shared" si="21"/>
        <v>92</v>
      </c>
      <c r="Q49" s="76">
        <f t="shared" si="22"/>
        <v>46</v>
      </c>
      <c r="R49" s="77">
        <f t="shared" si="23"/>
        <v>19.5</v>
      </c>
      <c r="S49" s="78">
        <f t="shared" si="24"/>
        <v>2758</v>
      </c>
      <c r="T49" s="79" t="str">
        <f t="shared" si="25"/>
        <v/>
      </c>
    </row>
    <row r="50" spans="2:20" s="80" customFormat="1" x14ac:dyDescent="0.3">
      <c r="B50" s="39" t="s">
        <v>178</v>
      </c>
      <c r="C50" s="73" t="s">
        <v>16</v>
      </c>
      <c r="D50" s="137" t="str">
        <f t="shared" si="13"/>
        <v>Gordon Academic College of Education</v>
      </c>
      <c r="E50" s="137" t="str">
        <f t="shared" si="14"/>
        <v>Israel</v>
      </c>
      <c r="F50" s="74">
        <v>10.5</v>
      </c>
      <c r="G50" s="75">
        <f t="shared" si="15"/>
        <v>166</v>
      </c>
      <c r="H50" s="76">
        <f t="shared" si="16"/>
        <v>1743</v>
      </c>
      <c r="I50" s="74">
        <v>55.5</v>
      </c>
      <c r="J50" s="75">
        <f t="shared" si="17"/>
        <v>132</v>
      </c>
      <c r="K50" s="76">
        <f t="shared" si="18"/>
        <v>7326</v>
      </c>
      <c r="L50" s="74">
        <v>0</v>
      </c>
      <c r="M50" s="75">
        <f t="shared" si="19"/>
        <v>102</v>
      </c>
      <c r="N50" s="76">
        <f t="shared" si="20"/>
        <v>0</v>
      </c>
      <c r="O50" s="74">
        <v>0.5</v>
      </c>
      <c r="P50" s="75">
        <f t="shared" si="21"/>
        <v>92</v>
      </c>
      <c r="Q50" s="76">
        <f t="shared" si="22"/>
        <v>46</v>
      </c>
      <c r="R50" s="77">
        <f t="shared" si="23"/>
        <v>66.5</v>
      </c>
      <c r="S50" s="78">
        <f t="shared" si="24"/>
        <v>9115</v>
      </c>
      <c r="T50" s="79" t="str">
        <f t="shared" si="25"/>
        <v/>
      </c>
    </row>
    <row r="51" spans="2:20" s="80" customFormat="1" x14ac:dyDescent="0.3">
      <c r="B51" s="39" t="s">
        <v>366</v>
      </c>
      <c r="C51" s="73" t="s">
        <v>16</v>
      </c>
      <c r="D51" s="137" t="str">
        <f t="shared" si="13"/>
        <v>Gordon Academic College of Education</v>
      </c>
      <c r="E51" s="137" t="str">
        <f t="shared" si="14"/>
        <v>Israel</v>
      </c>
      <c r="F51" s="74">
        <v>3</v>
      </c>
      <c r="G51" s="75">
        <f t="shared" si="15"/>
        <v>166</v>
      </c>
      <c r="H51" s="76">
        <f t="shared" si="16"/>
        <v>498</v>
      </c>
      <c r="I51" s="74">
        <v>7.5</v>
      </c>
      <c r="J51" s="75">
        <f t="shared" si="17"/>
        <v>132</v>
      </c>
      <c r="K51" s="76">
        <f t="shared" si="18"/>
        <v>990</v>
      </c>
      <c r="L51" s="74">
        <v>0</v>
      </c>
      <c r="M51" s="75">
        <f t="shared" si="19"/>
        <v>102</v>
      </c>
      <c r="N51" s="76">
        <f t="shared" si="20"/>
        <v>0</v>
      </c>
      <c r="O51" s="74">
        <v>0</v>
      </c>
      <c r="P51" s="75">
        <f t="shared" si="21"/>
        <v>92</v>
      </c>
      <c r="Q51" s="76">
        <f t="shared" si="22"/>
        <v>0</v>
      </c>
      <c r="R51" s="77">
        <f t="shared" si="23"/>
        <v>10.5</v>
      </c>
      <c r="S51" s="78">
        <f t="shared" si="24"/>
        <v>1488</v>
      </c>
      <c r="T51" s="79" t="str">
        <f t="shared" si="25"/>
        <v/>
      </c>
    </row>
    <row r="52" spans="2:20" s="80" customFormat="1" x14ac:dyDescent="0.3">
      <c r="B52" s="39" t="s">
        <v>372</v>
      </c>
      <c r="C52" s="73" t="s">
        <v>16</v>
      </c>
      <c r="D52" s="137" t="str">
        <f t="shared" si="13"/>
        <v>Gordon Academic College of Education</v>
      </c>
      <c r="E52" s="137" t="str">
        <f t="shared" si="14"/>
        <v>Israel</v>
      </c>
      <c r="F52" s="74">
        <v>4</v>
      </c>
      <c r="G52" s="75">
        <f t="shared" si="15"/>
        <v>166</v>
      </c>
      <c r="H52" s="76">
        <f t="shared" si="16"/>
        <v>664</v>
      </c>
      <c r="I52" s="74">
        <v>10</v>
      </c>
      <c r="J52" s="75">
        <f t="shared" si="17"/>
        <v>132</v>
      </c>
      <c r="K52" s="76">
        <f t="shared" si="18"/>
        <v>1320</v>
      </c>
      <c r="L52" s="74">
        <v>0</v>
      </c>
      <c r="M52" s="75">
        <f t="shared" si="19"/>
        <v>102</v>
      </c>
      <c r="N52" s="76">
        <f t="shared" si="20"/>
        <v>0</v>
      </c>
      <c r="O52" s="74">
        <v>0</v>
      </c>
      <c r="P52" s="75">
        <f t="shared" si="21"/>
        <v>92</v>
      </c>
      <c r="Q52" s="76">
        <f t="shared" si="22"/>
        <v>0</v>
      </c>
      <c r="R52" s="77">
        <f t="shared" si="23"/>
        <v>14</v>
      </c>
      <c r="S52" s="78">
        <f t="shared" si="24"/>
        <v>1984</v>
      </c>
      <c r="T52" s="79" t="str">
        <f t="shared" si="25"/>
        <v/>
      </c>
    </row>
    <row r="53" spans="2:20" s="80" customFormat="1" x14ac:dyDescent="0.3">
      <c r="B53" s="39" t="s">
        <v>180</v>
      </c>
      <c r="C53" s="73" t="s">
        <v>16</v>
      </c>
      <c r="D53" s="137" t="str">
        <f t="shared" si="13"/>
        <v>Gordon Academic College of Education</v>
      </c>
      <c r="E53" s="137" t="str">
        <f t="shared" si="14"/>
        <v>Israel</v>
      </c>
      <c r="F53" s="74">
        <v>1</v>
      </c>
      <c r="G53" s="75">
        <f t="shared" si="15"/>
        <v>166</v>
      </c>
      <c r="H53" s="76">
        <f t="shared" si="16"/>
        <v>166</v>
      </c>
      <c r="I53" s="74">
        <v>0</v>
      </c>
      <c r="J53" s="75">
        <f t="shared" si="17"/>
        <v>132</v>
      </c>
      <c r="K53" s="76">
        <f t="shared" si="18"/>
        <v>0</v>
      </c>
      <c r="L53" s="74">
        <v>0</v>
      </c>
      <c r="M53" s="75">
        <f t="shared" si="19"/>
        <v>102</v>
      </c>
      <c r="N53" s="76">
        <f t="shared" si="20"/>
        <v>0</v>
      </c>
      <c r="O53" s="74">
        <v>9</v>
      </c>
      <c r="P53" s="75">
        <f t="shared" si="21"/>
        <v>92</v>
      </c>
      <c r="Q53" s="76">
        <f t="shared" si="22"/>
        <v>828</v>
      </c>
      <c r="R53" s="77">
        <f t="shared" si="23"/>
        <v>10</v>
      </c>
      <c r="S53" s="78">
        <f t="shared" si="24"/>
        <v>994</v>
      </c>
      <c r="T53" s="79" t="str">
        <f t="shared" si="25"/>
        <v/>
      </c>
    </row>
    <row r="54" spans="2:20" s="80" customFormat="1" x14ac:dyDescent="0.3">
      <c r="B54" s="39" t="s">
        <v>179</v>
      </c>
      <c r="C54" s="73" t="s">
        <v>17</v>
      </c>
      <c r="D54" s="137" t="str">
        <f t="shared" si="13"/>
        <v>The College of Sakhnin</v>
      </c>
      <c r="E54" s="137" t="str">
        <f t="shared" si="14"/>
        <v>Israel</v>
      </c>
      <c r="F54" s="74">
        <v>6</v>
      </c>
      <c r="G54" s="75">
        <f t="shared" si="15"/>
        <v>166</v>
      </c>
      <c r="H54" s="76">
        <f t="shared" si="16"/>
        <v>996</v>
      </c>
      <c r="I54" s="74">
        <v>13</v>
      </c>
      <c r="J54" s="75">
        <f t="shared" si="17"/>
        <v>132</v>
      </c>
      <c r="K54" s="76">
        <f t="shared" si="18"/>
        <v>1716</v>
      </c>
      <c r="L54" s="74">
        <v>0</v>
      </c>
      <c r="M54" s="75">
        <f t="shared" si="19"/>
        <v>102</v>
      </c>
      <c r="N54" s="76">
        <f t="shared" si="20"/>
        <v>0</v>
      </c>
      <c r="O54" s="74">
        <v>0.5</v>
      </c>
      <c r="P54" s="75">
        <f t="shared" si="21"/>
        <v>92</v>
      </c>
      <c r="Q54" s="76">
        <f t="shared" si="22"/>
        <v>46</v>
      </c>
      <c r="R54" s="77">
        <f t="shared" si="23"/>
        <v>19.5</v>
      </c>
      <c r="S54" s="78">
        <f t="shared" si="24"/>
        <v>2758</v>
      </c>
      <c r="T54" s="79" t="str">
        <f t="shared" si="25"/>
        <v/>
      </c>
    </row>
    <row r="55" spans="2:20" s="80" customFormat="1" x14ac:dyDescent="0.3">
      <c r="B55" s="39" t="s">
        <v>178</v>
      </c>
      <c r="C55" s="73" t="s">
        <v>17</v>
      </c>
      <c r="D55" s="137" t="str">
        <f t="shared" si="13"/>
        <v>The College of Sakhnin</v>
      </c>
      <c r="E55" s="137" t="str">
        <f t="shared" si="14"/>
        <v>Israel</v>
      </c>
      <c r="F55" s="74">
        <v>10.5</v>
      </c>
      <c r="G55" s="75">
        <f t="shared" si="15"/>
        <v>166</v>
      </c>
      <c r="H55" s="76">
        <f t="shared" si="16"/>
        <v>1743</v>
      </c>
      <c r="I55" s="74">
        <v>55.5</v>
      </c>
      <c r="J55" s="75">
        <f t="shared" si="17"/>
        <v>132</v>
      </c>
      <c r="K55" s="76">
        <f t="shared" si="18"/>
        <v>7326</v>
      </c>
      <c r="L55" s="74">
        <v>0</v>
      </c>
      <c r="M55" s="75">
        <f t="shared" si="19"/>
        <v>102</v>
      </c>
      <c r="N55" s="76">
        <f t="shared" si="20"/>
        <v>0</v>
      </c>
      <c r="O55" s="74">
        <v>0.5</v>
      </c>
      <c r="P55" s="75">
        <f t="shared" si="21"/>
        <v>92</v>
      </c>
      <c r="Q55" s="76">
        <f t="shared" si="22"/>
        <v>46</v>
      </c>
      <c r="R55" s="77">
        <f t="shared" si="23"/>
        <v>66.5</v>
      </c>
      <c r="S55" s="78">
        <f t="shared" si="24"/>
        <v>9115</v>
      </c>
      <c r="T55" s="79" t="str">
        <f t="shared" si="25"/>
        <v/>
      </c>
    </row>
    <row r="56" spans="2:20" s="80" customFormat="1" x14ac:dyDescent="0.3">
      <c r="B56" s="39" t="s">
        <v>366</v>
      </c>
      <c r="C56" s="73" t="s">
        <v>17</v>
      </c>
      <c r="D56" s="137" t="str">
        <f t="shared" si="13"/>
        <v>The College of Sakhnin</v>
      </c>
      <c r="E56" s="137" t="str">
        <f t="shared" si="14"/>
        <v>Israel</v>
      </c>
      <c r="F56" s="74">
        <v>3</v>
      </c>
      <c r="G56" s="75">
        <f t="shared" si="15"/>
        <v>166</v>
      </c>
      <c r="H56" s="76">
        <f t="shared" si="16"/>
        <v>498</v>
      </c>
      <c r="I56" s="74">
        <v>7.5</v>
      </c>
      <c r="J56" s="75">
        <f t="shared" si="17"/>
        <v>132</v>
      </c>
      <c r="K56" s="76">
        <f t="shared" si="18"/>
        <v>990</v>
      </c>
      <c r="L56" s="74">
        <v>0</v>
      </c>
      <c r="M56" s="75">
        <f t="shared" si="19"/>
        <v>102</v>
      </c>
      <c r="N56" s="76">
        <f t="shared" si="20"/>
        <v>0</v>
      </c>
      <c r="O56" s="74">
        <v>0</v>
      </c>
      <c r="P56" s="75">
        <f t="shared" si="21"/>
        <v>92</v>
      </c>
      <c r="Q56" s="76">
        <f t="shared" si="22"/>
        <v>0</v>
      </c>
      <c r="R56" s="77">
        <f t="shared" si="23"/>
        <v>10.5</v>
      </c>
      <c r="S56" s="78">
        <f t="shared" si="24"/>
        <v>1488</v>
      </c>
      <c r="T56" s="79" t="str">
        <f t="shared" si="25"/>
        <v/>
      </c>
    </row>
    <row r="57" spans="2:20" s="80" customFormat="1" x14ac:dyDescent="0.3">
      <c r="B57" s="39" t="s">
        <v>372</v>
      </c>
      <c r="C57" s="73" t="s">
        <v>17</v>
      </c>
      <c r="D57" s="137" t="str">
        <f t="shared" si="13"/>
        <v>The College of Sakhnin</v>
      </c>
      <c r="E57" s="137" t="str">
        <f t="shared" si="14"/>
        <v>Israel</v>
      </c>
      <c r="F57" s="74">
        <v>4</v>
      </c>
      <c r="G57" s="75">
        <f t="shared" si="15"/>
        <v>166</v>
      </c>
      <c r="H57" s="76">
        <f t="shared" si="16"/>
        <v>664</v>
      </c>
      <c r="I57" s="74">
        <v>10</v>
      </c>
      <c r="J57" s="75">
        <f t="shared" si="17"/>
        <v>132</v>
      </c>
      <c r="K57" s="76">
        <f t="shared" si="18"/>
        <v>1320</v>
      </c>
      <c r="L57" s="74">
        <v>0</v>
      </c>
      <c r="M57" s="75">
        <f t="shared" si="19"/>
        <v>102</v>
      </c>
      <c r="N57" s="76">
        <f t="shared" si="20"/>
        <v>0</v>
      </c>
      <c r="O57" s="74">
        <v>0</v>
      </c>
      <c r="P57" s="75">
        <f t="shared" si="21"/>
        <v>92</v>
      </c>
      <c r="Q57" s="76">
        <f t="shared" si="22"/>
        <v>0</v>
      </c>
      <c r="R57" s="77">
        <f t="shared" si="23"/>
        <v>14</v>
      </c>
      <c r="S57" s="78">
        <f t="shared" si="24"/>
        <v>1984</v>
      </c>
      <c r="T57" s="79" t="str">
        <f t="shared" si="25"/>
        <v/>
      </c>
    </row>
    <row r="58" spans="2:20" s="80" customFormat="1" x14ac:dyDescent="0.3">
      <c r="B58" s="39" t="s">
        <v>180</v>
      </c>
      <c r="C58" s="73" t="s">
        <v>17</v>
      </c>
      <c r="D58" s="137" t="str">
        <f t="shared" si="13"/>
        <v>The College of Sakhnin</v>
      </c>
      <c r="E58" s="137" t="str">
        <f t="shared" si="14"/>
        <v>Israel</v>
      </c>
      <c r="F58" s="74">
        <v>1</v>
      </c>
      <c r="G58" s="75">
        <f t="shared" si="15"/>
        <v>166</v>
      </c>
      <c r="H58" s="76">
        <f t="shared" si="16"/>
        <v>166</v>
      </c>
      <c r="I58" s="74">
        <v>0</v>
      </c>
      <c r="J58" s="75">
        <f t="shared" si="17"/>
        <v>132</v>
      </c>
      <c r="K58" s="76">
        <f t="shared" si="18"/>
        <v>0</v>
      </c>
      <c r="L58" s="74">
        <v>0</v>
      </c>
      <c r="M58" s="75">
        <f t="shared" si="19"/>
        <v>102</v>
      </c>
      <c r="N58" s="76">
        <f t="shared" si="20"/>
        <v>0</v>
      </c>
      <c r="O58" s="74">
        <v>9</v>
      </c>
      <c r="P58" s="75">
        <f t="shared" si="21"/>
        <v>92</v>
      </c>
      <c r="Q58" s="76">
        <f t="shared" si="22"/>
        <v>828</v>
      </c>
      <c r="R58" s="77">
        <f t="shared" si="23"/>
        <v>10</v>
      </c>
      <c r="S58" s="78">
        <f t="shared" si="24"/>
        <v>994</v>
      </c>
      <c r="T58" s="79" t="str">
        <f t="shared" si="25"/>
        <v/>
      </c>
    </row>
    <row r="59" spans="2:20" s="80" customFormat="1" x14ac:dyDescent="0.3">
      <c r="B59" s="39" t="s">
        <v>179</v>
      </c>
      <c r="C59" s="73" t="s">
        <v>18</v>
      </c>
      <c r="D59" s="137" t="str">
        <f t="shared" si="13"/>
        <v>Talpiot Academic College</v>
      </c>
      <c r="E59" s="137" t="str">
        <f t="shared" si="14"/>
        <v>Israel</v>
      </c>
      <c r="F59" s="74">
        <v>6</v>
      </c>
      <c r="G59" s="75">
        <f t="shared" si="15"/>
        <v>166</v>
      </c>
      <c r="H59" s="76">
        <f t="shared" si="16"/>
        <v>996</v>
      </c>
      <c r="I59" s="74">
        <v>13</v>
      </c>
      <c r="J59" s="75">
        <f t="shared" si="17"/>
        <v>132</v>
      </c>
      <c r="K59" s="76">
        <f t="shared" si="18"/>
        <v>1716</v>
      </c>
      <c r="L59" s="74">
        <v>0</v>
      </c>
      <c r="M59" s="75">
        <f t="shared" si="19"/>
        <v>102</v>
      </c>
      <c r="N59" s="76">
        <f t="shared" si="20"/>
        <v>0</v>
      </c>
      <c r="O59" s="74">
        <v>0.5</v>
      </c>
      <c r="P59" s="75">
        <f t="shared" si="21"/>
        <v>92</v>
      </c>
      <c r="Q59" s="76">
        <f t="shared" si="22"/>
        <v>46</v>
      </c>
      <c r="R59" s="77">
        <f t="shared" si="23"/>
        <v>19.5</v>
      </c>
      <c r="S59" s="78">
        <f t="shared" si="24"/>
        <v>2758</v>
      </c>
      <c r="T59" s="79" t="str">
        <f t="shared" si="25"/>
        <v/>
      </c>
    </row>
    <row r="60" spans="2:20" s="80" customFormat="1" x14ac:dyDescent="0.3">
      <c r="B60" s="39" t="s">
        <v>178</v>
      </c>
      <c r="C60" s="73" t="s">
        <v>18</v>
      </c>
      <c r="D60" s="137" t="str">
        <f t="shared" si="13"/>
        <v>Talpiot Academic College</v>
      </c>
      <c r="E60" s="137" t="str">
        <f t="shared" si="14"/>
        <v>Israel</v>
      </c>
      <c r="F60" s="74">
        <v>10.5</v>
      </c>
      <c r="G60" s="75">
        <f t="shared" si="15"/>
        <v>166</v>
      </c>
      <c r="H60" s="76">
        <f t="shared" si="16"/>
        <v>1743</v>
      </c>
      <c r="I60" s="74">
        <v>55.5</v>
      </c>
      <c r="J60" s="75">
        <f t="shared" si="17"/>
        <v>132</v>
      </c>
      <c r="K60" s="76">
        <f t="shared" si="18"/>
        <v>7326</v>
      </c>
      <c r="L60" s="74">
        <v>0</v>
      </c>
      <c r="M60" s="75">
        <f t="shared" si="19"/>
        <v>102</v>
      </c>
      <c r="N60" s="76">
        <f t="shared" si="20"/>
        <v>0</v>
      </c>
      <c r="O60" s="74">
        <v>0.5</v>
      </c>
      <c r="P60" s="75">
        <f t="shared" si="21"/>
        <v>92</v>
      </c>
      <c r="Q60" s="76">
        <f t="shared" si="22"/>
        <v>46</v>
      </c>
      <c r="R60" s="77">
        <f t="shared" si="23"/>
        <v>66.5</v>
      </c>
      <c r="S60" s="78">
        <f t="shared" si="24"/>
        <v>9115</v>
      </c>
      <c r="T60" s="79" t="str">
        <f t="shared" si="25"/>
        <v/>
      </c>
    </row>
    <row r="61" spans="2:20" s="80" customFormat="1" x14ac:dyDescent="0.3">
      <c r="B61" s="39" t="s">
        <v>366</v>
      </c>
      <c r="C61" s="73" t="s">
        <v>18</v>
      </c>
      <c r="D61" s="137" t="str">
        <f t="shared" si="13"/>
        <v>Talpiot Academic College</v>
      </c>
      <c r="E61" s="137" t="str">
        <f t="shared" si="14"/>
        <v>Israel</v>
      </c>
      <c r="F61" s="74">
        <v>3</v>
      </c>
      <c r="G61" s="75">
        <f t="shared" si="15"/>
        <v>166</v>
      </c>
      <c r="H61" s="76">
        <f t="shared" si="16"/>
        <v>498</v>
      </c>
      <c r="I61" s="74">
        <v>7.5</v>
      </c>
      <c r="J61" s="75">
        <f t="shared" si="17"/>
        <v>132</v>
      </c>
      <c r="K61" s="76">
        <f t="shared" si="18"/>
        <v>990</v>
      </c>
      <c r="L61" s="74">
        <v>0</v>
      </c>
      <c r="M61" s="75">
        <f t="shared" si="19"/>
        <v>102</v>
      </c>
      <c r="N61" s="76">
        <f t="shared" si="20"/>
        <v>0</v>
      </c>
      <c r="O61" s="74">
        <v>0</v>
      </c>
      <c r="P61" s="75">
        <f t="shared" si="21"/>
        <v>92</v>
      </c>
      <c r="Q61" s="76">
        <f t="shared" si="22"/>
        <v>0</v>
      </c>
      <c r="R61" s="77">
        <f t="shared" si="23"/>
        <v>10.5</v>
      </c>
      <c r="S61" s="78">
        <f t="shared" si="24"/>
        <v>1488</v>
      </c>
      <c r="T61" s="79" t="str">
        <f t="shared" si="25"/>
        <v/>
      </c>
    </row>
    <row r="62" spans="2:20" s="80" customFormat="1" x14ac:dyDescent="0.3">
      <c r="B62" s="39" t="s">
        <v>372</v>
      </c>
      <c r="C62" s="73" t="s">
        <v>18</v>
      </c>
      <c r="D62" s="137" t="str">
        <f t="shared" si="13"/>
        <v>Talpiot Academic College</v>
      </c>
      <c r="E62" s="137" t="str">
        <f t="shared" si="14"/>
        <v>Israel</v>
      </c>
      <c r="F62" s="74">
        <v>4</v>
      </c>
      <c r="G62" s="75">
        <f t="shared" si="15"/>
        <v>166</v>
      </c>
      <c r="H62" s="76">
        <f t="shared" si="16"/>
        <v>664</v>
      </c>
      <c r="I62" s="74">
        <v>10</v>
      </c>
      <c r="J62" s="75">
        <f t="shared" si="17"/>
        <v>132</v>
      </c>
      <c r="K62" s="76">
        <f t="shared" si="18"/>
        <v>1320</v>
      </c>
      <c r="L62" s="74">
        <v>0</v>
      </c>
      <c r="M62" s="75">
        <f t="shared" si="19"/>
        <v>102</v>
      </c>
      <c r="N62" s="76">
        <f t="shared" si="20"/>
        <v>0</v>
      </c>
      <c r="O62" s="74">
        <v>0</v>
      </c>
      <c r="P62" s="75">
        <f t="shared" si="21"/>
        <v>92</v>
      </c>
      <c r="Q62" s="76">
        <f t="shared" si="22"/>
        <v>0</v>
      </c>
      <c r="R62" s="77">
        <f t="shared" si="23"/>
        <v>14</v>
      </c>
      <c r="S62" s="78">
        <f t="shared" si="24"/>
        <v>1984</v>
      </c>
      <c r="T62" s="79" t="str">
        <f t="shared" si="25"/>
        <v/>
      </c>
    </row>
    <row r="63" spans="2:20" s="80" customFormat="1" x14ac:dyDescent="0.3">
      <c r="B63" s="39" t="s">
        <v>180</v>
      </c>
      <c r="C63" s="73" t="s">
        <v>18</v>
      </c>
      <c r="D63" s="137" t="str">
        <f t="shared" si="13"/>
        <v>Talpiot Academic College</v>
      </c>
      <c r="E63" s="137" t="str">
        <f t="shared" si="14"/>
        <v>Israel</v>
      </c>
      <c r="F63" s="74">
        <v>1</v>
      </c>
      <c r="G63" s="75">
        <f t="shared" si="15"/>
        <v>166</v>
      </c>
      <c r="H63" s="76">
        <f t="shared" si="16"/>
        <v>166</v>
      </c>
      <c r="I63" s="74">
        <v>0</v>
      </c>
      <c r="J63" s="75">
        <f t="shared" si="17"/>
        <v>132</v>
      </c>
      <c r="K63" s="76">
        <f t="shared" si="18"/>
        <v>0</v>
      </c>
      <c r="L63" s="74">
        <v>0</v>
      </c>
      <c r="M63" s="75">
        <f t="shared" si="19"/>
        <v>102</v>
      </c>
      <c r="N63" s="76">
        <f t="shared" si="20"/>
        <v>0</v>
      </c>
      <c r="O63" s="74">
        <v>9</v>
      </c>
      <c r="P63" s="75">
        <f t="shared" si="21"/>
        <v>92</v>
      </c>
      <c r="Q63" s="76">
        <f t="shared" si="22"/>
        <v>828</v>
      </c>
      <c r="R63" s="77">
        <f t="shared" si="23"/>
        <v>10</v>
      </c>
      <c r="S63" s="78">
        <f t="shared" si="24"/>
        <v>994</v>
      </c>
      <c r="T63" s="79" t="str">
        <f t="shared" si="25"/>
        <v/>
      </c>
    </row>
    <row r="64" spans="2:20" s="80" customFormat="1" x14ac:dyDescent="0.3">
      <c r="B64" s="39" t="s">
        <v>179</v>
      </c>
      <c r="C64" s="73" t="s">
        <v>19</v>
      </c>
      <c r="D64" s="137" t="str">
        <f t="shared" si="13"/>
        <v>The University of Salzburg</v>
      </c>
      <c r="E64" s="137" t="str">
        <f t="shared" si="14"/>
        <v>Austria</v>
      </c>
      <c r="F64" s="74">
        <v>0</v>
      </c>
      <c r="G64" s="75">
        <f t="shared" si="15"/>
        <v>294</v>
      </c>
      <c r="H64" s="76">
        <f t="shared" si="16"/>
        <v>0</v>
      </c>
      <c r="I64" s="74">
        <v>35.5</v>
      </c>
      <c r="J64" s="75">
        <f t="shared" si="17"/>
        <v>241</v>
      </c>
      <c r="K64" s="76">
        <f t="shared" si="18"/>
        <v>8555.5</v>
      </c>
      <c r="L64" s="74">
        <v>0</v>
      </c>
      <c r="M64" s="75">
        <f t="shared" si="19"/>
        <v>190</v>
      </c>
      <c r="N64" s="76">
        <f t="shared" si="20"/>
        <v>0</v>
      </c>
      <c r="O64" s="74">
        <v>0</v>
      </c>
      <c r="P64" s="75">
        <f t="shared" si="21"/>
        <v>157</v>
      </c>
      <c r="Q64" s="76">
        <f t="shared" si="22"/>
        <v>0</v>
      </c>
      <c r="R64" s="77">
        <f t="shared" si="23"/>
        <v>35.5</v>
      </c>
      <c r="S64" s="78">
        <f t="shared" si="24"/>
        <v>8555.5</v>
      </c>
      <c r="T64" s="79" t="str">
        <f t="shared" si="25"/>
        <v/>
      </c>
    </row>
    <row r="65" spans="2:20" s="80" customFormat="1" x14ac:dyDescent="0.3">
      <c r="B65" s="39" t="s">
        <v>178</v>
      </c>
      <c r="C65" s="73" t="s">
        <v>19</v>
      </c>
      <c r="D65" s="137" t="str">
        <f t="shared" si="13"/>
        <v>The University of Salzburg</v>
      </c>
      <c r="E65" s="137" t="str">
        <f t="shared" si="14"/>
        <v>Austria</v>
      </c>
      <c r="F65" s="74">
        <v>0</v>
      </c>
      <c r="G65" s="75">
        <f t="shared" si="15"/>
        <v>294</v>
      </c>
      <c r="H65" s="76">
        <f t="shared" si="16"/>
        <v>0</v>
      </c>
      <c r="I65" s="74">
        <v>64</v>
      </c>
      <c r="J65" s="75">
        <f t="shared" si="17"/>
        <v>241</v>
      </c>
      <c r="K65" s="76">
        <f t="shared" si="18"/>
        <v>15424</v>
      </c>
      <c r="L65" s="74">
        <v>0</v>
      </c>
      <c r="M65" s="75">
        <f t="shared" si="19"/>
        <v>190</v>
      </c>
      <c r="N65" s="76">
        <f t="shared" si="20"/>
        <v>0</v>
      </c>
      <c r="O65" s="74">
        <v>0</v>
      </c>
      <c r="P65" s="75">
        <f t="shared" si="21"/>
        <v>157</v>
      </c>
      <c r="Q65" s="76">
        <f t="shared" si="22"/>
        <v>0</v>
      </c>
      <c r="R65" s="77">
        <f t="shared" si="23"/>
        <v>64</v>
      </c>
      <c r="S65" s="78">
        <f t="shared" si="24"/>
        <v>15424</v>
      </c>
      <c r="T65" s="79" t="str">
        <f t="shared" si="25"/>
        <v/>
      </c>
    </row>
    <row r="66" spans="2:20" s="80" customFormat="1" x14ac:dyDescent="0.3">
      <c r="B66" s="39" t="s">
        <v>366</v>
      </c>
      <c r="C66" s="73" t="s">
        <v>19</v>
      </c>
      <c r="D66" s="137" t="str">
        <f t="shared" si="13"/>
        <v>The University of Salzburg</v>
      </c>
      <c r="E66" s="137" t="str">
        <f t="shared" si="14"/>
        <v>Austria</v>
      </c>
      <c r="F66" s="74">
        <v>0</v>
      </c>
      <c r="G66" s="75">
        <f t="shared" si="15"/>
        <v>294</v>
      </c>
      <c r="H66" s="76">
        <f t="shared" si="16"/>
        <v>0</v>
      </c>
      <c r="I66" s="74">
        <v>15</v>
      </c>
      <c r="J66" s="75">
        <f t="shared" si="17"/>
        <v>241</v>
      </c>
      <c r="K66" s="76">
        <f t="shared" si="18"/>
        <v>3615</v>
      </c>
      <c r="L66" s="74">
        <v>0</v>
      </c>
      <c r="M66" s="75">
        <f t="shared" si="19"/>
        <v>190</v>
      </c>
      <c r="N66" s="76">
        <f t="shared" si="20"/>
        <v>0</v>
      </c>
      <c r="O66" s="74">
        <v>0</v>
      </c>
      <c r="P66" s="75">
        <f t="shared" si="21"/>
        <v>157</v>
      </c>
      <c r="Q66" s="76">
        <f t="shared" si="22"/>
        <v>0</v>
      </c>
      <c r="R66" s="77">
        <f t="shared" si="23"/>
        <v>15</v>
      </c>
      <c r="S66" s="78">
        <f t="shared" si="24"/>
        <v>3615</v>
      </c>
      <c r="T66" s="79" t="str">
        <f t="shared" si="25"/>
        <v/>
      </c>
    </row>
    <row r="67" spans="2:20" s="80" customFormat="1" x14ac:dyDescent="0.3">
      <c r="B67" s="39" t="s">
        <v>372</v>
      </c>
      <c r="C67" s="73" t="s">
        <v>19</v>
      </c>
      <c r="D67" s="137" t="str">
        <f t="shared" si="13"/>
        <v>The University of Salzburg</v>
      </c>
      <c r="E67" s="137" t="str">
        <f t="shared" si="14"/>
        <v>Austria</v>
      </c>
      <c r="F67" s="74">
        <v>0</v>
      </c>
      <c r="G67" s="75">
        <f t="shared" si="15"/>
        <v>294</v>
      </c>
      <c r="H67" s="76">
        <f t="shared" si="16"/>
        <v>0</v>
      </c>
      <c r="I67" s="74">
        <v>23</v>
      </c>
      <c r="J67" s="75">
        <f t="shared" si="17"/>
        <v>241</v>
      </c>
      <c r="K67" s="76">
        <f t="shared" si="18"/>
        <v>5543</v>
      </c>
      <c r="L67" s="74">
        <v>0</v>
      </c>
      <c r="M67" s="75">
        <f t="shared" si="19"/>
        <v>190</v>
      </c>
      <c r="N67" s="76">
        <f t="shared" si="20"/>
        <v>0</v>
      </c>
      <c r="O67" s="74">
        <v>0</v>
      </c>
      <c r="P67" s="75">
        <f t="shared" si="21"/>
        <v>157</v>
      </c>
      <c r="Q67" s="76">
        <f t="shared" si="22"/>
        <v>0</v>
      </c>
      <c r="R67" s="77">
        <f t="shared" si="23"/>
        <v>23</v>
      </c>
      <c r="S67" s="78">
        <f t="shared" si="24"/>
        <v>5543</v>
      </c>
      <c r="T67" s="79" t="str">
        <f t="shared" si="25"/>
        <v/>
      </c>
    </row>
    <row r="68" spans="2:20" s="80" customFormat="1" x14ac:dyDescent="0.3">
      <c r="B68" s="39" t="s">
        <v>180</v>
      </c>
      <c r="C68" s="73" t="s">
        <v>19</v>
      </c>
      <c r="D68" s="137" t="str">
        <f t="shared" si="13"/>
        <v>The University of Salzburg</v>
      </c>
      <c r="E68" s="137" t="str">
        <f t="shared" si="14"/>
        <v>Austria</v>
      </c>
      <c r="F68" s="74">
        <v>1</v>
      </c>
      <c r="G68" s="75">
        <f t="shared" si="15"/>
        <v>294</v>
      </c>
      <c r="H68" s="76">
        <f t="shared" si="16"/>
        <v>294</v>
      </c>
      <c r="I68" s="74">
        <v>0</v>
      </c>
      <c r="J68" s="75">
        <f t="shared" si="17"/>
        <v>241</v>
      </c>
      <c r="K68" s="76">
        <f t="shared" si="18"/>
        <v>0</v>
      </c>
      <c r="L68" s="74">
        <v>0</v>
      </c>
      <c r="M68" s="75">
        <f t="shared" si="19"/>
        <v>190</v>
      </c>
      <c r="N68" s="76">
        <f t="shared" si="20"/>
        <v>0</v>
      </c>
      <c r="O68" s="74">
        <v>7.5</v>
      </c>
      <c r="P68" s="75">
        <f t="shared" si="21"/>
        <v>157</v>
      </c>
      <c r="Q68" s="76">
        <f t="shared" si="22"/>
        <v>1177.5</v>
      </c>
      <c r="R68" s="77">
        <f t="shared" si="23"/>
        <v>8.5</v>
      </c>
      <c r="S68" s="78">
        <f t="shared" si="24"/>
        <v>1471.5</v>
      </c>
      <c r="T68" s="79" t="str">
        <f t="shared" si="25"/>
        <v/>
      </c>
    </row>
    <row r="69" spans="2:20" s="80" customFormat="1" x14ac:dyDescent="0.3">
      <c r="B69" s="39"/>
      <c r="C69" s="73"/>
      <c r="D69" s="137" t="str">
        <f t="shared" si="13"/>
        <v/>
      </c>
      <c r="E69" s="137" t="str">
        <f t="shared" si="14"/>
        <v/>
      </c>
      <c r="F69" s="74">
        <v>0</v>
      </c>
      <c r="G69" s="75">
        <f t="shared" si="15"/>
        <v>0</v>
      </c>
      <c r="H69" s="76">
        <f t="shared" si="16"/>
        <v>0</v>
      </c>
      <c r="I69" s="74">
        <v>0</v>
      </c>
      <c r="J69" s="75">
        <f t="shared" si="17"/>
        <v>0</v>
      </c>
      <c r="K69" s="76">
        <f t="shared" si="18"/>
        <v>0</v>
      </c>
      <c r="L69" s="74">
        <v>0</v>
      </c>
      <c r="M69" s="75">
        <f t="shared" si="19"/>
        <v>0</v>
      </c>
      <c r="N69" s="76">
        <f t="shared" si="20"/>
        <v>0</v>
      </c>
      <c r="O69" s="74">
        <v>0</v>
      </c>
      <c r="P69" s="75">
        <f t="shared" si="21"/>
        <v>0</v>
      </c>
      <c r="Q69" s="76">
        <f t="shared" si="22"/>
        <v>0</v>
      </c>
      <c r="R69" s="77">
        <f t="shared" si="23"/>
        <v>0</v>
      </c>
      <c r="S69" s="78">
        <f t="shared" si="24"/>
        <v>0</v>
      </c>
      <c r="T69" s="79" t="str">
        <f t="shared" si="25"/>
        <v>Error</v>
      </c>
    </row>
    <row r="70" spans="2:20" s="80" customFormat="1" x14ac:dyDescent="0.3">
      <c r="B70" s="39"/>
      <c r="C70" s="73"/>
      <c r="D70" s="137" t="str">
        <f t="shared" si="13"/>
        <v/>
      </c>
      <c r="E70" s="137" t="str">
        <f t="shared" si="14"/>
        <v/>
      </c>
      <c r="F70" s="74">
        <v>0</v>
      </c>
      <c r="G70" s="75">
        <f t="shared" si="15"/>
        <v>0</v>
      </c>
      <c r="H70" s="76">
        <f t="shared" si="16"/>
        <v>0</v>
      </c>
      <c r="I70" s="74">
        <v>0</v>
      </c>
      <c r="J70" s="75">
        <f t="shared" si="17"/>
        <v>0</v>
      </c>
      <c r="K70" s="76">
        <f t="shared" si="18"/>
        <v>0</v>
      </c>
      <c r="L70" s="74">
        <v>0</v>
      </c>
      <c r="M70" s="75">
        <f t="shared" si="19"/>
        <v>0</v>
      </c>
      <c r="N70" s="76">
        <f t="shared" si="20"/>
        <v>0</v>
      </c>
      <c r="O70" s="74">
        <v>0</v>
      </c>
      <c r="P70" s="75">
        <f t="shared" si="21"/>
        <v>0</v>
      </c>
      <c r="Q70" s="76">
        <f t="shared" si="22"/>
        <v>0</v>
      </c>
      <c r="R70" s="77">
        <f t="shared" si="23"/>
        <v>0</v>
      </c>
      <c r="S70" s="78">
        <f t="shared" si="24"/>
        <v>0</v>
      </c>
      <c r="T70" s="79" t="str">
        <f t="shared" si="25"/>
        <v>Error</v>
      </c>
    </row>
    <row r="71" spans="2:20" s="80" customFormat="1" x14ac:dyDescent="0.3">
      <c r="B71" s="39"/>
      <c r="C71" s="73"/>
      <c r="D71" s="137" t="str">
        <f t="shared" si="13"/>
        <v/>
      </c>
      <c r="E71" s="137" t="str">
        <f t="shared" si="14"/>
        <v/>
      </c>
      <c r="F71" s="74">
        <v>0</v>
      </c>
      <c r="G71" s="75">
        <f t="shared" si="15"/>
        <v>0</v>
      </c>
      <c r="H71" s="76">
        <f t="shared" si="16"/>
        <v>0</v>
      </c>
      <c r="I71" s="74">
        <v>0</v>
      </c>
      <c r="J71" s="75">
        <f t="shared" si="17"/>
        <v>0</v>
      </c>
      <c r="K71" s="76">
        <f t="shared" si="18"/>
        <v>0</v>
      </c>
      <c r="L71" s="74">
        <v>0</v>
      </c>
      <c r="M71" s="75">
        <f t="shared" si="19"/>
        <v>0</v>
      </c>
      <c r="N71" s="76">
        <f t="shared" si="20"/>
        <v>0</v>
      </c>
      <c r="O71" s="74">
        <v>0</v>
      </c>
      <c r="P71" s="75">
        <f t="shared" si="21"/>
        <v>0</v>
      </c>
      <c r="Q71" s="76">
        <f t="shared" si="22"/>
        <v>0</v>
      </c>
      <c r="R71" s="77">
        <f t="shared" si="23"/>
        <v>0</v>
      </c>
      <c r="S71" s="78">
        <f t="shared" si="24"/>
        <v>0</v>
      </c>
      <c r="T71" s="79" t="str">
        <f t="shared" si="25"/>
        <v>Error</v>
      </c>
    </row>
    <row r="72" spans="2:20" s="80" customFormat="1" x14ac:dyDescent="0.3">
      <c r="B72" s="39"/>
      <c r="C72" s="73"/>
      <c r="D72" s="137" t="str">
        <f t="shared" si="13"/>
        <v/>
      </c>
      <c r="E72" s="137" t="str">
        <f t="shared" si="14"/>
        <v/>
      </c>
      <c r="F72" s="74">
        <v>0</v>
      </c>
      <c r="G72" s="75">
        <f t="shared" si="15"/>
        <v>0</v>
      </c>
      <c r="H72" s="76">
        <f t="shared" si="16"/>
        <v>0</v>
      </c>
      <c r="I72" s="74">
        <v>0</v>
      </c>
      <c r="J72" s="75">
        <f t="shared" si="17"/>
        <v>0</v>
      </c>
      <c r="K72" s="76">
        <f t="shared" si="18"/>
        <v>0</v>
      </c>
      <c r="L72" s="74">
        <v>0</v>
      </c>
      <c r="M72" s="75">
        <f t="shared" si="19"/>
        <v>0</v>
      </c>
      <c r="N72" s="76">
        <f t="shared" si="20"/>
        <v>0</v>
      </c>
      <c r="O72" s="74">
        <v>0</v>
      </c>
      <c r="P72" s="75">
        <f t="shared" si="21"/>
        <v>0</v>
      </c>
      <c r="Q72" s="76">
        <f t="shared" si="22"/>
        <v>0</v>
      </c>
      <c r="R72" s="77">
        <f t="shared" si="23"/>
        <v>0</v>
      </c>
      <c r="S72" s="78">
        <f t="shared" si="24"/>
        <v>0</v>
      </c>
      <c r="T72" s="79" t="str">
        <f t="shared" si="25"/>
        <v>Error</v>
      </c>
    </row>
  </sheetData>
  <sheetProtection password="E359" sheet="1" objects="1" scenarios="1" selectLockedCells="1"/>
  <dataConsolidate/>
  <mergeCells count="21">
    <mergeCell ref="B5:C5"/>
    <mergeCell ref="B4:C4"/>
    <mergeCell ref="B9:C9"/>
    <mergeCell ref="B3:S3"/>
    <mergeCell ref="R11:R12"/>
    <mergeCell ref="T11:T12"/>
    <mergeCell ref="B2:T2"/>
    <mergeCell ref="S11:S12"/>
    <mergeCell ref="F11:H11"/>
    <mergeCell ref="I11:K11"/>
    <mergeCell ref="L11:N11"/>
    <mergeCell ref="O11:Q11"/>
    <mergeCell ref="B10:S10"/>
    <mergeCell ref="G4:T9"/>
    <mergeCell ref="B11:B12"/>
    <mergeCell ref="E11:E12"/>
    <mergeCell ref="D11:D12"/>
    <mergeCell ref="C11:C12"/>
    <mergeCell ref="B8:C8"/>
    <mergeCell ref="B7:C7"/>
    <mergeCell ref="B6:C6"/>
  </mergeCells>
  <conditionalFormatting sqref="T13:T14">
    <cfRule type="containsText" dxfId="785" priority="671" operator="containsText" text="Error">
      <formula>NOT(ISERROR(SEARCH("Error",T13)))</formula>
    </cfRule>
  </conditionalFormatting>
  <conditionalFormatting sqref="D13:E14">
    <cfRule type="containsBlanks" dxfId="784" priority="667">
      <formula>LEN(TRIM(D13))=0</formula>
    </cfRule>
  </conditionalFormatting>
  <conditionalFormatting sqref="T15">
    <cfRule type="containsText" dxfId="783" priority="116" operator="containsText" text="Error">
      <formula>NOT(ISERROR(SEARCH("Error",T15)))</formula>
    </cfRule>
  </conditionalFormatting>
  <conditionalFormatting sqref="D15:E15">
    <cfRule type="containsBlanks" dxfId="782" priority="115">
      <formula>LEN(TRIM(D15))=0</formula>
    </cfRule>
  </conditionalFormatting>
  <conditionalFormatting sqref="T16">
    <cfRule type="containsText" dxfId="781" priority="114" operator="containsText" text="Error">
      <formula>NOT(ISERROR(SEARCH("Error",T16)))</formula>
    </cfRule>
  </conditionalFormatting>
  <conditionalFormatting sqref="D16:E16">
    <cfRule type="containsBlanks" dxfId="780" priority="113">
      <formula>LEN(TRIM(D16))=0</formula>
    </cfRule>
  </conditionalFormatting>
  <conditionalFormatting sqref="T17">
    <cfRule type="containsText" dxfId="779" priority="112" operator="containsText" text="Error">
      <formula>NOT(ISERROR(SEARCH("Error",T17)))</formula>
    </cfRule>
  </conditionalFormatting>
  <conditionalFormatting sqref="D17:E17">
    <cfRule type="containsBlanks" dxfId="778" priority="111">
      <formula>LEN(TRIM(D17))=0</formula>
    </cfRule>
  </conditionalFormatting>
  <conditionalFormatting sqref="T18">
    <cfRule type="containsText" dxfId="777" priority="110" operator="containsText" text="Error">
      <formula>NOT(ISERROR(SEARCH("Error",T18)))</formula>
    </cfRule>
  </conditionalFormatting>
  <conditionalFormatting sqref="D18:E18">
    <cfRule type="containsBlanks" dxfId="776" priority="109">
      <formula>LEN(TRIM(D18))=0</formula>
    </cfRule>
  </conditionalFormatting>
  <conditionalFormatting sqref="T19">
    <cfRule type="containsText" dxfId="775" priority="108" operator="containsText" text="Error">
      <formula>NOT(ISERROR(SEARCH("Error",T19)))</formula>
    </cfRule>
  </conditionalFormatting>
  <conditionalFormatting sqref="D19:E19">
    <cfRule type="containsBlanks" dxfId="774" priority="107">
      <formula>LEN(TRIM(D19))=0</formula>
    </cfRule>
  </conditionalFormatting>
  <conditionalFormatting sqref="T20">
    <cfRule type="containsText" dxfId="773" priority="106" operator="containsText" text="Error">
      <formula>NOT(ISERROR(SEARCH("Error",T20)))</formula>
    </cfRule>
  </conditionalFormatting>
  <conditionalFormatting sqref="D20:E20">
    <cfRule type="containsBlanks" dxfId="772" priority="105">
      <formula>LEN(TRIM(D20))=0</formula>
    </cfRule>
  </conditionalFormatting>
  <conditionalFormatting sqref="T21">
    <cfRule type="containsText" dxfId="771" priority="104" operator="containsText" text="Error">
      <formula>NOT(ISERROR(SEARCH("Error",T21)))</formula>
    </cfRule>
  </conditionalFormatting>
  <conditionalFormatting sqref="D21:E21">
    <cfRule type="containsBlanks" dxfId="770" priority="103">
      <formula>LEN(TRIM(D21))=0</formula>
    </cfRule>
  </conditionalFormatting>
  <conditionalFormatting sqref="T30">
    <cfRule type="containsText" dxfId="769" priority="102" operator="containsText" text="Error">
      <formula>NOT(ISERROR(SEARCH("Error",T30)))</formula>
    </cfRule>
  </conditionalFormatting>
  <conditionalFormatting sqref="D30:E30">
    <cfRule type="containsBlanks" dxfId="768" priority="101">
      <formula>LEN(TRIM(D30))=0</formula>
    </cfRule>
  </conditionalFormatting>
  <conditionalFormatting sqref="T31">
    <cfRule type="containsText" dxfId="767" priority="100" operator="containsText" text="Error">
      <formula>NOT(ISERROR(SEARCH("Error",T31)))</formula>
    </cfRule>
  </conditionalFormatting>
  <conditionalFormatting sqref="D31:E31">
    <cfRule type="containsBlanks" dxfId="766" priority="99">
      <formula>LEN(TRIM(D31))=0</formula>
    </cfRule>
  </conditionalFormatting>
  <conditionalFormatting sqref="T32">
    <cfRule type="containsText" dxfId="765" priority="98" operator="containsText" text="Error">
      <formula>NOT(ISERROR(SEARCH("Error",T32)))</formula>
    </cfRule>
  </conditionalFormatting>
  <conditionalFormatting sqref="D32:E32">
    <cfRule type="containsBlanks" dxfId="764" priority="97">
      <formula>LEN(TRIM(D32))=0</formula>
    </cfRule>
  </conditionalFormatting>
  <conditionalFormatting sqref="T33">
    <cfRule type="containsText" dxfId="763" priority="96" operator="containsText" text="Error">
      <formula>NOT(ISERROR(SEARCH("Error",T33)))</formula>
    </cfRule>
  </conditionalFormatting>
  <conditionalFormatting sqref="D33:E33">
    <cfRule type="containsBlanks" dxfId="762" priority="95">
      <formula>LEN(TRIM(D33))=0</formula>
    </cfRule>
  </conditionalFormatting>
  <conditionalFormatting sqref="T34">
    <cfRule type="containsText" dxfId="761" priority="94" operator="containsText" text="Error">
      <formula>NOT(ISERROR(SEARCH("Error",T34)))</formula>
    </cfRule>
  </conditionalFormatting>
  <conditionalFormatting sqref="D34:E34">
    <cfRule type="containsBlanks" dxfId="760" priority="93">
      <formula>LEN(TRIM(D34))=0</formula>
    </cfRule>
  </conditionalFormatting>
  <conditionalFormatting sqref="T35">
    <cfRule type="containsText" dxfId="759" priority="92" operator="containsText" text="Error">
      <formula>NOT(ISERROR(SEARCH("Error",T35)))</formula>
    </cfRule>
  </conditionalFormatting>
  <conditionalFormatting sqref="D35:E35">
    <cfRule type="containsBlanks" dxfId="758" priority="91">
      <formula>LEN(TRIM(D35))=0</formula>
    </cfRule>
  </conditionalFormatting>
  <conditionalFormatting sqref="T36">
    <cfRule type="containsText" dxfId="757" priority="90" operator="containsText" text="Error">
      <formula>NOT(ISERROR(SEARCH("Error",T36)))</formula>
    </cfRule>
  </conditionalFormatting>
  <conditionalFormatting sqref="D36:E36">
    <cfRule type="containsBlanks" dxfId="756" priority="89">
      <formula>LEN(TRIM(D36))=0</formula>
    </cfRule>
  </conditionalFormatting>
  <conditionalFormatting sqref="T37">
    <cfRule type="containsText" dxfId="755" priority="88" operator="containsText" text="Error">
      <formula>NOT(ISERROR(SEARCH("Error",T37)))</formula>
    </cfRule>
  </conditionalFormatting>
  <conditionalFormatting sqref="D37:E37">
    <cfRule type="containsBlanks" dxfId="754" priority="87">
      <formula>LEN(TRIM(D37))=0</formula>
    </cfRule>
  </conditionalFormatting>
  <conditionalFormatting sqref="T38">
    <cfRule type="containsText" dxfId="753" priority="86" operator="containsText" text="Error">
      <formula>NOT(ISERROR(SEARCH("Error",T38)))</formula>
    </cfRule>
  </conditionalFormatting>
  <conditionalFormatting sqref="D38:E38">
    <cfRule type="containsBlanks" dxfId="752" priority="85">
      <formula>LEN(TRIM(D38))=0</formula>
    </cfRule>
  </conditionalFormatting>
  <conditionalFormatting sqref="T67">
    <cfRule type="containsText" dxfId="751" priority="84" operator="containsText" text="Error">
      <formula>NOT(ISERROR(SEARCH("Error",T67)))</formula>
    </cfRule>
  </conditionalFormatting>
  <conditionalFormatting sqref="D67:E67">
    <cfRule type="containsBlanks" dxfId="750" priority="83">
      <formula>LEN(TRIM(D67))=0</formula>
    </cfRule>
  </conditionalFormatting>
  <conditionalFormatting sqref="T68">
    <cfRule type="containsText" dxfId="749" priority="82" operator="containsText" text="Error">
      <formula>NOT(ISERROR(SEARCH("Error",T68)))</formula>
    </cfRule>
  </conditionalFormatting>
  <conditionalFormatting sqref="D68:E68">
    <cfRule type="containsBlanks" dxfId="748" priority="81">
      <formula>LEN(TRIM(D68))=0</formula>
    </cfRule>
  </conditionalFormatting>
  <conditionalFormatting sqref="T69">
    <cfRule type="containsText" dxfId="747" priority="80" operator="containsText" text="Error">
      <formula>NOT(ISERROR(SEARCH("Error",T69)))</formula>
    </cfRule>
  </conditionalFormatting>
  <conditionalFormatting sqref="D69:E69">
    <cfRule type="containsBlanks" dxfId="746" priority="79">
      <formula>LEN(TRIM(D69))=0</formula>
    </cfRule>
  </conditionalFormatting>
  <conditionalFormatting sqref="T72">
    <cfRule type="containsText" dxfId="745" priority="78" operator="containsText" text="Error">
      <formula>NOT(ISERROR(SEARCH("Error",T72)))</formula>
    </cfRule>
  </conditionalFormatting>
  <conditionalFormatting sqref="D72:E72">
    <cfRule type="containsBlanks" dxfId="744" priority="77">
      <formula>LEN(TRIM(D72))=0</formula>
    </cfRule>
  </conditionalFormatting>
  <conditionalFormatting sqref="T22">
    <cfRule type="containsText" dxfId="743" priority="76" operator="containsText" text="Error">
      <formula>NOT(ISERROR(SEARCH("Error",T22)))</formula>
    </cfRule>
  </conditionalFormatting>
  <conditionalFormatting sqref="D22:E22">
    <cfRule type="containsBlanks" dxfId="742" priority="75">
      <formula>LEN(TRIM(D22))=0</formula>
    </cfRule>
  </conditionalFormatting>
  <conditionalFormatting sqref="T23">
    <cfRule type="containsText" dxfId="741" priority="74" operator="containsText" text="Error">
      <formula>NOT(ISERROR(SEARCH("Error",T23)))</formula>
    </cfRule>
  </conditionalFormatting>
  <conditionalFormatting sqref="D23:E23">
    <cfRule type="containsBlanks" dxfId="740" priority="73">
      <formula>LEN(TRIM(D23))=0</formula>
    </cfRule>
  </conditionalFormatting>
  <conditionalFormatting sqref="T24">
    <cfRule type="containsText" dxfId="739" priority="72" operator="containsText" text="Error">
      <formula>NOT(ISERROR(SEARCH("Error",T24)))</formula>
    </cfRule>
  </conditionalFormatting>
  <conditionalFormatting sqref="D24:E24">
    <cfRule type="containsBlanks" dxfId="738" priority="71">
      <formula>LEN(TRIM(D24))=0</formula>
    </cfRule>
  </conditionalFormatting>
  <conditionalFormatting sqref="T25">
    <cfRule type="containsText" dxfId="737" priority="70" operator="containsText" text="Error">
      <formula>NOT(ISERROR(SEARCH("Error",T25)))</formula>
    </cfRule>
  </conditionalFormatting>
  <conditionalFormatting sqref="D25:E25">
    <cfRule type="containsBlanks" dxfId="736" priority="69">
      <formula>LEN(TRIM(D25))=0</formula>
    </cfRule>
  </conditionalFormatting>
  <conditionalFormatting sqref="T26">
    <cfRule type="containsText" dxfId="735" priority="68" operator="containsText" text="Error">
      <formula>NOT(ISERROR(SEARCH("Error",T26)))</formula>
    </cfRule>
  </conditionalFormatting>
  <conditionalFormatting sqref="D26:E26">
    <cfRule type="containsBlanks" dxfId="734" priority="67">
      <formula>LEN(TRIM(D26))=0</formula>
    </cfRule>
  </conditionalFormatting>
  <conditionalFormatting sqref="T27">
    <cfRule type="containsText" dxfId="733" priority="66" operator="containsText" text="Error">
      <formula>NOT(ISERROR(SEARCH("Error",T27)))</formula>
    </cfRule>
  </conditionalFormatting>
  <conditionalFormatting sqref="D27:E27">
    <cfRule type="containsBlanks" dxfId="732" priority="65">
      <formula>LEN(TRIM(D27))=0</formula>
    </cfRule>
  </conditionalFormatting>
  <conditionalFormatting sqref="T28">
    <cfRule type="containsText" dxfId="731" priority="64" operator="containsText" text="Error">
      <formula>NOT(ISERROR(SEARCH("Error",T28)))</formula>
    </cfRule>
  </conditionalFormatting>
  <conditionalFormatting sqref="D28:E28">
    <cfRule type="containsBlanks" dxfId="730" priority="63">
      <formula>LEN(TRIM(D28))=0</formula>
    </cfRule>
  </conditionalFormatting>
  <conditionalFormatting sqref="T29">
    <cfRule type="containsText" dxfId="729" priority="62" operator="containsText" text="Error">
      <formula>NOT(ISERROR(SEARCH("Error",T29)))</formula>
    </cfRule>
  </conditionalFormatting>
  <conditionalFormatting sqref="D29:E29">
    <cfRule type="containsBlanks" dxfId="728" priority="61">
      <formula>LEN(TRIM(D29))=0</formula>
    </cfRule>
  </conditionalFormatting>
  <conditionalFormatting sqref="T39">
    <cfRule type="containsText" dxfId="727" priority="60" operator="containsText" text="Error">
      <formula>NOT(ISERROR(SEARCH("Error",T39)))</formula>
    </cfRule>
  </conditionalFormatting>
  <conditionalFormatting sqref="D39:E39">
    <cfRule type="containsBlanks" dxfId="726" priority="59">
      <formula>LEN(TRIM(D39))=0</formula>
    </cfRule>
  </conditionalFormatting>
  <conditionalFormatting sqref="T40">
    <cfRule type="containsText" dxfId="725" priority="58" operator="containsText" text="Error">
      <formula>NOT(ISERROR(SEARCH("Error",T40)))</formula>
    </cfRule>
  </conditionalFormatting>
  <conditionalFormatting sqref="D40:E40">
    <cfRule type="containsBlanks" dxfId="724" priority="57">
      <formula>LEN(TRIM(D40))=0</formula>
    </cfRule>
  </conditionalFormatting>
  <conditionalFormatting sqref="T41">
    <cfRule type="containsText" dxfId="723" priority="56" operator="containsText" text="Error">
      <formula>NOT(ISERROR(SEARCH("Error",T41)))</formula>
    </cfRule>
  </conditionalFormatting>
  <conditionalFormatting sqref="D41:E41">
    <cfRule type="containsBlanks" dxfId="722" priority="55">
      <formula>LEN(TRIM(D41))=0</formula>
    </cfRule>
  </conditionalFormatting>
  <conditionalFormatting sqref="T42">
    <cfRule type="containsText" dxfId="721" priority="54" operator="containsText" text="Error">
      <formula>NOT(ISERROR(SEARCH("Error",T42)))</formula>
    </cfRule>
  </conditionalFormatting>
  <conditionalFormatting sqref="D42:E42">
    <cfRule type="containsBlanks" dxfId="720" priority="53">
      <formula>LEN(TRIM(D42))=0</formula>
    </cfRule>
  </conditionalFormatting>
  <conditionalFormatting sqref="T43">
    <cfRule type="containsText" dxfId="719" priority="52" operator="containsText" text="Error">
      <formula>NOT(ISERROR(SEARCH("Error",T43)))</formula>
    </cfRule>
  </conditionalFormatting>
  <conditionalFormatting sqref="D43:E43">
    <cfRule type="containsBlanks" dxfId="718" priority="51">
      <formula>LEN(TRIM(D43))=0</formula>
    </cfRule>
  </conditionalFormatting>
  <conditionalFormatting sqref="T44">
    <cfRule type="containsText" dxfId="717" priority="50" operator="containsText" text="Error">
      <formula>NOT(ISERROR(SEARCH("Error",T44)))</formula>
    </cfRule>
  </conditionalFormatting>
  <conditionalFormatting sqref="D44:E44">
    <cfRule type="containsBlanks" dxfId="716" priority="49">
      <formula>LEN(TRIM(D44))=0</formula>
    </cfRule>
  </conditionalFormatting>
  <conditionalFormatting sqref="T45">
    <cfRule type="containsText" dxfId="715" priority="48" operator="containsText" text="Error">
      <formula>NOT(ISERROR(SEARCH("Error",T45)))</formula>
    </cfRule>
  </conditionalFormatting>
  <conditionalFormatting sqref="D45:E45">
    <cfRule type="containsBlanks" dxfId="714" priority="47">
      <formula>LEN(TRIM(D45))=0</formula>
    </cfRule>
  </conditionalFormatting>
  <conditionalFormatting sqref="T46">
    <cfRule type="containsText" dxfId="713" priority="46" operator="containsText" text="Error">
      <formula>NOT(ISERROR(SEARCH("Error",T46)))</formula>
    </cfRule>
  </conditionalFormatting>
  <conditionalFormatting sqref="D46:E46">
    <cfRule type="containsBlanks" dxfId="712" priority="45">
      <formula>LEN(TRIM(D46))=0</formula>
    </cfRule>
  </conditionalFormatting>
  <conditionalFormatting sqref="T47">
    <cfRule type="containsText" dxfId="711" priority="44" operator="containsText" text="Error">
      <formula>NOT(ISERROR(SEARCH("Error",T47)))</formula>
    </cfRule>
  </conditionalFormatting>
  <conditionalFormatting sqref="D47:E47">
    <cfRule type="containsBlanks" dxfId="710" priority="43">
      <formula>LEN(TRIM(D47))=0</formula>
    </cfRule>
  </conditionalFormatting>
  <conditionalFormatting sqref="T48">
    <cfRule type="containsText" dxfId="709" priority="42" operator="containsText" text="Error">
      <formula>NOT(ISERROR(SEARCH("Error",T48)))</formula>
    </cfRule>
  </conditionalFormatting>
  <conditionalFormatting sqref="D48:E48">
    <cfRule type="containsBlanks" dxfId="708" priority="41">
      <formula>LEN(TRIM(D48))=0</formula>
    </cfRule>
  </conditionalFormatting>
  <conditionalFormatting sqref="T49">
    <cfRule type="containsText" dxfId="707" priority="40" operator="containsText" text="Error">
      <formula>NOT(ISERROR(SEARCH("Error",T49)))</formula>
    </cfRule>
  </conditionalFormatting>
  <conditionalFormatting sqref="D49:E49">
    <cfRule type="containsBlanks" dxfId="706" priority="39">
      <formula>LEN(TRIM(D49))=0</formula>
    </cfRule>
  </conditionalFormatting>
  <conditionalFormatting sqref="T50">
    <cfRule type="containsText" dxfId="705" priority="38" operator="containsText" text="Error">
      <formula>NOT(ISERROR(SEARCH("Error",T50)))</formula>
    </cfRule>
  </conditionalFormatting>
  <conditionalFormatting sqref="D50:E50">
    <cfRule type="containsBlanks" dxfId="704" priority="37">
      <formula>LEN(TRIM(D50))=0</formula>
    </cfRule>
  </conditionalFormatting>
  <conditionalFormatting sqref="T51">
    <cfRule type="containsText" dxfId="703" priority="36" operator="containsText" text="Error">
      <formula>NOT(ISERROR(SEARCH("Error",T51)))</formula>
    </cfRule>
  </conditionalFormatting>
  <conditionalFormatting sqref="D51:E51">
    <cfRule type="containsBlanks" dxfId="702" priority="35">
      <formula>LEN(TRIM(D51))=0</formula>
    </cfRule>
  </conditionalFormatting>
  <conditionalFormatting sqref="T52">
    <cfRule type="containsText" dxfId="701" priority="34" operator="containsText" text="Error">
      <formula>NOT(ISERROR(SEARCH("Error",T52)))</formula>
    </cfRule>
  </conditionalFormatting>
  <conditionalFormatting sqref="D52:E52">
    <cfRule type="containsBlanks" dxfId="700" priority="33">
      <formula>LEN(TRIM(D52))=0</formula>
    </cfRule>
  </conditionalFormatting>
  <conditionalFormatting sqref="T53">
    <cfRule type="containsText" dxfId="699" priority="32" operator="containsText" text="Error">
      <formula>NOT(ISERROR(SEARCH("Error",T53)))</formula>
    </cfRule>
  </conditionalFormatting>
  <conditionalFormatting sqref="D53:E53">
    <cfRule type="containsBlanks" dxfId="698" priority="31">
      <formula>LEN(TRIM(D53))=0</formula>
    </cfRule>
  </conditionalFormatting>
  <conditionalFormatting sqref="T54">
    <cfRule type="containsText" dxfId="697" priority="30" operator="containsText" text="Error">
      <formula>NOT(ISERROR(SEARCH("Error",T54)))</formula>
    </cfRule>
  </conditionalFormatting>
  <conditionalFormatting sqref="D54:E54">
    <cfRule type="containsBlanks" dxfId="696" priority="29">
      <formula>LEN(TRIM(D54))=0</formula>
    </cfRule>
  </conditionalFormatting>
  <conditionalFormatting sqref="T55">
    <cfRule type="containsText" dxfId="695" priority="28" operator="containsText" text="Error">
      <formula>NOT(ISERROR(SEARCH("Error",T55)))</formula>
    </cfRule>
  </conditionalFormatting>
  <conditionalFormatting sqref="D55:E55">
    <cfRule type="containsBlanks" dxfId="694" priority="27">
      <formula>LEN(TRIM(D55))=0</formula>
    </cfRule>
  </conditionalFormatting>
  <conditionalFormatting sqref="T56">
    <cfRule type="containsText" dxfId="693" priority="26" operator="containsText" text="Error">
      <formula>NOT(ISERROR(SEARCH("Error",T56)))</formula>
    </cfRule>
  </conditionalFormatting>
  <conditionalFormatting sqref="D56:E56">
    <cfRule type="containsBlanks" dxfId="692" priority="25">
      <formula>LEN(TRIM(D56))=0</formula>
    </cfRule>
  </conditionalFormatting>
  <conditionalFormatting sqref="T57">
    <cfRule type="containsText" dxfId="691" priority="24" operator="containsText" text="Error">
      <formula>NOT(ISERROR(SEARCH("Error",T57)))</formula>
    </cfRule>
  </conditionalFormatting>
  <conditionalFormatting sqref="D57:E57">
    <cfRule type="containsBlanks" dxfId="690" priority="23">
      <formula>LEN(TRIM(D57))=0</formula>
    </cfRule>
  </conditionalFormatting>
  <conditionalFormatting sqref="T58">
    <cfRule type="containsText" dxfId="689" priority="22" operator="containsText" text="Error">
      <formula>NOT(ISERROR(SEARCH("Error",T58)))</formula>
    </cfRule>
  </conditionalFormatting>
  <conditionalFormatting sqref="D58:E58">
    <cfRule type="containsBlanks" dxfId="688" priority="21">
      <formula>LEN(TRIM(D58))=0</formula>
    </cfRule>
  </conditionalFormatting>
  <conditionalFormatting sqref="T59">
    <cfRule type="containsText" dxfId="687" priority="20" operator="containsText" text="Error">
      <formula>NOT(ISERROR(SEARCH("Error",T59)))</formula>
    </cfRule>
  </conditionalFormatting>
  <conditionalFormatting sqref="D59:E59">
    <cfRule type="containsBlanks" dxfId="686" priority="19">
      <formula>LEN(TRIM(D59))=0</formula>
    </cfRule>
  </conditionalFormatting>
  <conditionalFormatting sqref="T60">
    <cfRule type="containsText" dxfId="685" priority="18" operator="containsText" text="Error">
      <formula>NOT(ISERROR(SEARCH("Error",T60)))</formula>
    </cfRule>
  </conditionalFormatting>
  <conditionalFormatting sqref="D60:E60">
    <cfRule type="containsBlanks" dxfId="684" priority="17">
      <formula>LEN(TRIM(D60))=0</formula>
    </cfRule>
  </conditionalFormatting>
  <conditionalFormatting sqref="T61">
    <cfRule type="containsText" dxfId="683" priority="16" operator="containsText" text="Error">
      <formula>NOT(ISERROR(SEARCH("Error",T61)))</formula>
    </cfRule>
  </conditionalFormatting>
  <conditionalFormatting sqref="D61:E61">
    <cfRule type="containsBlanks" dxfId="682" priority="15">
      <formula>LEN(TRIM(D61))=0</formula>
    </cfRule>
  </conditionalFormatting>
  <conditionalFormatting sqref="T62">
    <cfRule type="containsText" dxfId="681" priority="14" operator="containsText" text="Error">
      <formula>NOT(ISERROR(SEARCH("Error",T62)))</formula>
    </cfRule>
  </conditionalFormatting>
  <conditionalFormatting sqref="D62:E62">
    <cfRule type="containsBlanks" dxfId="680" priority="13">
      <formula>LEN(TRIM(D62))=0</formula>
    </cfRule>
  </conditionalFormatting>
  <conditionalFormatting sqref="T63">
    <cfRule type="containsText" dxfId="679" priority="12" operator="containsText" text="Error">
      <formula>NOT(ISERROR(SEARCH("Error",T63)))</formula>
    </cfRule>
  </conditionalFormatting>
  <conditionalFormatting sqref="D63:E63">
    <cfRule type="containsBlanks" dxfId="678" priority="11">
      <formula>LEN(TRIM(D63))=0</formula>
    </cfRule>
  </conditionalFormatting>
  <conditionalFormatting sqref="T64">
    <cfRule type="containsText" dxfId="677" priority="10" operator="containsText" text="Error">
      <formula>NOT(ISERROR(SEARCH("Error",T64)))</formula>
    </cfRule>
  </conditionalFormatting>
  <conditionalFormatting sqref="D64:E64">
    <cfRule type="containsBlanks" dxfId="676" priority="9">
      <formula>LEN(TRIM(D64))=0</formula>
    </cfRule>
  </conditionalFormatting>
  <conditionalFormatting sqref="T65">
    <cfRule type="containsText" dxfId="675" priority="8" operator="containsText" text="Error">
      <formula>NOT(ISERROR(SEARCH("Error",T65)))</formula>
    </cfRule>
  </conditionalFormatting>
  <conditionalFormatting sqref="D65:E65">
    <cfRule type="containsBlanks" dxfId="674" priority="7">
      <formula>LEN(TRIM(D65))=0</formula>
    </cfRule>
  </conditionalFormatting>
  <conditionalFormatting sqref="T66">
    <cfRule type="containsText" dxfId="673" priority="6" operator="containsText" text="Error">
      <formula>NOT(ISERROR(SEARCH("Error",T66)))</formula>
    </cfRule>
  </conditionalFormatting>
  <conditionalFormatting sqref="D66:E66">
    <cfRule type="containsBlanks" dxfId="672" priority="5">
      <formula>LEN(TRIM(D66))=0</formula>
    </cfRule>
  </conditionalFormatting>
  <conditionalFormatting sqref="T70">
    <cfRule type="containsText" dxfId="671" priority="4" operator="containsText" text="Error">
      <formula>NOT(ISERROR(SEARCH("Error",T70)))</formula>
    </cfRule>
  </conditionalFormatting>
  <conditionalFormatting sqref="D70:E70">
    <cfRule type="containsBlanks" dxfId="670" priority="3">
      <formula>LEN(TRIM(D70))=0</formula>
    </cfRule>
  </conditionalFormatting>
  <conditionalFormatting sqref="T71">
    <cfRule type="containsText" dxfId="669" priority="2" operator="containsText" text="Error">
      <formula>NOT(ISERROR(SEARCH("Error",T71)))</formula>
    </cfRule>
  </conditionalFormatting>
  <conditionalFormatting sqref="D71:E71">
    <cfRule type="containsBlanks" dxfId="668" priority="1">
      <formula>LEN(TRIM(D71))=0</formula>
    </cfRule>
  </conditionalFormatting>
  <dataValidations count="4">
    <dataValidation allowBlank="1" showInputMessage="1" errorTitle="Warning: Max Ceilings exceeded" error="Please be aware that this exceed the &quot;Ceilings&quot; for the maximum amounts for staff cost by country" sqref="J13:J72 M13:M72 G13:G72 P13:P72"/>
    <dataValidation type="custom" allowBlank="1" showInputMessage="1" showErrorMessage="1" error="Format error (1 decimal only)" prompt="Please encode number of days - 1 decimal only" sqref="I13:I72 F13:F72 L13:L72 O13:O72">
      <formula1>F13=INT(F13*10)/10</formula1>
    </dataValidation>
    <dataValidation type="list" allowBlank="1" showInputMessage="1" showErrorMessage="1" error="Click arrow to select Work Package" prompt="Click arrow to select Work Package" sqref="B13:B72">
      <formula1>WorkPackage</formula1>
    </dataValidation>
    <dataValidation type="list" allowBlank="1" showInputMessage="1" showErrorMessage="1" error="Click arrow to select Partner N°" prompt="Click arrow to select Partner N°" sqref="C13:C72">
      <formula1>PartnerN°</formula1>
    </dataValidation>
  </dataValidations>
  <printOptions horizontalCentered="1"/>
  <pageMargins left="0.23622047244094491" right="0.23622047244094491" top="0.39370078740157483" bottom="0.74803149606299213" header="0.31496062992125984" footer="0.31496062992125984"/>
  <pageSetup paperSize="9" scale="28"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25" r:id="rId4" name="Button 1">
              <controlPr defaultSize="0" print="0" autoFill="0" autoPict="0" macro="[0]!AddRow">
                <anchor moveWithCells="1" sizeWithCells="1">
                  <from>
                    <xdr:col>1</xdr:col>
                    <xdr:colOff>83820</xdr:colOff>
                    <xdr:row>1</xdr:row>
                    <xdr:rowOff>76200</xdr:rowOff>
                  </from>
                  <to>
                    <xdr:col>1</xdr:col>
                    <xdr:colOff>1668780</xdr:colOff>
                    <xdr:row>1</xdr:row>
                    <xdr:rowOff>441960</xdr:rowOff>
                  </to>
                </anchor>
              </controlPr>
            </control>
          </mc:Choice>
        </mc:AlternateContent>
        <mc:AlternateContent xmlns:mc="http://schemas.openxmlformats.org/markup-compatibility/2006">
          <mc:Choice Requires="x14">
            <control shapeId="3226" r:id="rId5" name="Button 2">
              <controlPr defaultSize="0" print="0" autoFill="0" autoPict="0" macro="[0]!DeleteRow">
                <anchor moveWithCells="1" sizeWithCells="1">
                  <from>
                    <xdr:col>1</xdr:col>
                    <xdr:colOff>1744980</xdr:colOff>
                    <xdr:row>1</xdr:row>
                    <xdr:rowOff>76200</xdr:rowOff>
                  </from>
                  <to>
                    <xdr:col>2</xdr:col>
                    <xdr:colOff>464820</xdr:colOff>
                    <xdr:row>1</xdr:row>
                    <xdr:rowOff>441960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3" tint="0.39997558519241921"/>
    <pageSetUpPr fitToPage="1"/>
  </sheetPr>
  <dimension ref="B1:O218"/>
  <sheetViews>
    <sheetView showGridLines="0" zoomScale="45" zoomScaleNormal="45" zoomScaleSheetLayoutView="55" workbookViewId="0">
      <pane ySplit="13" topLeftCell="A14" activePane="bottomLeft" state="frozen"/>
      <selection pane="bottomLeft" activeCell="I218" sqref="I218"/>
    </sheetView>
  </sheetViews>
  <sheetFormatPr defaultColWidth="9.109375" defaultRowHeight="18" x14ac:dyDescent="0.35"/>
  <cols>
    <col min="1" max="1" width="1.6640625" style="16" customWidth="1"/>
    <col min="2" max="2" width="42.6640625" style="16" customWidth="1"/>
    <col min="3" max="3" width="10.6640625" style="16" customWidth="1"/>
    <col min="4" max="5" width="50.6640625" style="16" customWidth="1"/>
    <col min="6" max="6" width="30.6640625" style="16" customWidth="1"/>
    <col min="7" max="7" width="15.6640625" style="16" customWidth="1"/>
    <col min="8" max="8" width="13.44140625" style="16" customWidth="1"/>
    <col min="9" max="9" width="30.6640625" style="16" customWidth="1"/>
    <col min="10" max="10" width="24.6640625" style="16" bestFit="1" customWidth="1"/>
    <col min="11" max="11" width="12.6640625" style="16" customWidth="1"/>
    <col min="12" max="14" width="20.6640625" style="16" customWidth="1"/>
    <col min="15" max="15" width="11.6640625" style="16" bestFit="1" customWidth="1"/>
    <col min="16" max="16" width="1.6640625" style="16" customWidth="1"/>
    <col min="17" max="16384" width="9.109375" style="16"/>
  </cols>
  <sheetData>
    <row r="1" spans="2:15" ht="8.1" customHeight="1" x14ac:dyDescent="0.35"/>
    <row r="2" spans="2:15" s="46" customFormat="1" ht="39.9" customHeight="1" x14ac:dyDescent="0.35">
      <c r="B2" s="158" t="s">
        <v>189</v>
      </c>
      <c r="C2" s="158"/>
      <c r="D2" s="158"/>
      <c r="E2" s="158"/>
      <c r="F2" s="158"/>
      <c r="G2" s="158"/>
      <c r="H2" s="158"/>
      <c r="I2" s="158"/>
      <c r="J2" s="158"/>
      <c r="K2" s="158"/>
      <c r="L2" s="158"/>
      <c r="M2" s="158"/>
      <c r="N2" s="158"/>
      <c r="O2" s="158"/>
    </row>
    <row r="3" spans="2:15" s="46" customFormat="1" ht="8.1" customHeight="1" x14ac:dyDescent="0.35">
      <c r="B3" s="81"/>
      <c r="C3" s="124"/>
      <c r="D3" s="124"/>
      <c r="E3" s="124"/>
      <c r="F3" s="124"/>
      <c r="G3" s="124"/>
      <c r="H3" s="124"/>
      <c r="I3" s="124"/>
      <c r="J3" s="124"/>
      <c r="K3" s="124"/>
      <c r="L3" s="124"/>
      <c r="M3" s="124"/>
      <c r="N3" s="124"/>
      <c r="O3" s="67"/>
    </row>
    <row r="4" spans="2:15" s="46" customFormat="1" ht="20.100000000000001" customHeight="1" x14ac:dyDescent="0.35">
      <c r="B4" s="184" t="s">
        <v>340</v>
      </c>
      <c r="C4" s="185"/>
      <c r="D4" s="114">
        <f>SUMIF(G:G,"Student",L:L)</f>
        <v>25170</v>
      </c>
      <c r="E4" s="180">
        <f>D4+D5</f>
        <v>80610</v>
      </c>
      <c r="F4" s="193">
        <f>SUMIFS(H:H,G:G,"Student",O:O,"&lt;&gt;Error")</f>
        <v>167</v>
      </c>
      <c r="G4" s="124"/>
      <c r="H4" s="124"/>
      <c r="I4" s="124"/>
      <c r="J4" s="124"/>
      <c r="K4" s="124"/>
      <c r="L4" s="124"/>
      <c r="M4" s="124"/>
      <c r="N4" s="124"/>
      <c r="O4" s="67"/>
    </row>
    <row r="5" spans="2:15" s="46" customFormat="1" ht="20.100000000000001" customHeight="1" x14ac:dyDescent="0.35">
      <c r="B5" s="182" t="s">
        <v>341</v>
      </c>
      <c r="C5" s="183"/>
      <c r="D5" s="115">
        <f>SUMIF(G:G,"Student",M:M)</f>
        <v>55440</v>
      </c>
      <c r="E5" s="181"/>
      <c r="F5" s="194"/>
      <c r="G5" s="124"/>
      <c r="H5" s="124"/>
      <c r="I5" s="124"/>
      <c r="J5" s="124"/>
      <c r="K5" s="124"/>
      <c r="L5" s="124"/>
      <c r="M5" s="124"/>
      <c r="N5" s="124"/>
      <c r="O5" s="67"/>
    </row>
    <row r="6" spans="2:15" s="46" customFormat="1" ht="20.100000000000001" customHeight="1" x14ac:dyDescent="0.35">
      <c r="B6" s="184" t="s">
        <v>342</v>
      </c>
      <c r="C6" s="185"/>
      <c r="D6" s="114">
        <f>SUMIF(G:G,"Staff",L:L)</f>
        <v>117315</v>
      </c>
      <c r="E6" s="178">
        <f>D6+D7</f>
        <v>400875</v>
      </c>
      <c r="F6" s="191">
        <f>SUMIFS(H:H,G:G,"Staff",O:O,"&lt;&gt;Error")</f>
        <v>862</v>
      </c>
      <c r="G6" s="124"/>
      <c r="H6" s="124"/>
      <c r="I6" s="124"/>
      <c r="J6" s="124"/>
      <c r="K6" s="124"/>
      <c r="L6" s="124"/>
      <c r="M6" s="124"/>
      <c r="N6" s="124"/>
      <c r="O6" s="67"/>
    </row>
    <row r="7" spans="2:15" s="46" customFormat="1" ht="20.100000000000001" customHeight="1" x14ac:dyDescent="0.35">
      <c r="B7" s="182" t="s">
        <v>343</v>
      </c>
      <c r="C7" s="183"/>
      <c r="D7" s="115">
        <f>SUMIF(G:G,"Staff",M:M)</f>
        <v>283560</v>
      </c>
      <c r="E7" s="179"/>
      <c r="F7" s="192"/>
      <c r="G7" s="124"/>
      <c r="H7" s="124"/>
      <c r="I7" s="124"/>
      <c r="J7" s="124"/>
      <c r="K7" s="124"/>
      <c r="L7" s="124"/>
      <c r="M7" s="124"/>
      <c r="N7" s="124"/>
      <c r="O7" s="67"/>
    </row>
    <row r="8" spans="2:15" s="46" customFormat="1" ht="20.100000000000001" customHeight="1" x14ac:dyDescent="0.35">
      <c r="B8" s="184" t="s">
        <v>344</v>
      </c>
      <c r="C8" s="185"/>
      <c r="D8" s="114">
        <f>SUM(L:L)</f>
        <v>142485</v>
      </c>
      <c r="E8" s="176">
        <f>D8+D9</f>
        <v>481485</v>
      </c>
      <c r="F8" s="189">
        <f>F4+F6</f>
        <v>1029</v>
      </c>
      <c r="G8" s="124"/>
      <c r="H8" s="124"/>
      <c r="I8" s="124"/>
      <c r="J8" s="124"/>
      <c r="K8" s="124"/>
      <c r="L8" s="124"/>
      <c r="M8" s="124"/>
      <c r="N8" s="124"/>
      <c r="O8" s="67"/>
    </row>
    <row r="9" spans="2:15" s="46" customFormat="1" ht="20.100000000000001" customHeight="1" x14ac:dyDescent="0.35">
      <c r="B9" s="182" t="s">
        <v>345</v>
      </c>
      <c r="C9" s="183"/>
      <c r="D9" s="115">
        <f>SUM(M:M)</f>
        <v>339000</v>
      </c>
      <c r="E9" s="177"/>
      <c r="F9" s="190"/>
      <c r="G9" s="124"/>
      <c r="H9" s="124"/>
      <c r="I9" s="124"/>
      <c r="J9" s="124"/>
      <c r="K9" s="124"/>
      <c r="L9" s="124"/>
      <c r="M9" s="124"/>
      <c r="N9" s="124"/>
      <c r="O9" s="67"/>
    </row>
    <row r="10" spans="2:15" s="46" customFormat="1" ht="8.1" customHeight="1" x14ac:dyDescent="0.35">
      <c r="B10" s="47"/>
      <c r="C10" s="49"/>
      <c r="D10" s="49"/>
      <c r="E10" s="49"/>
      <c r="F10" s="49"/>
      <c r="G10" s="49"/>
      <c r="H10" s="49"/>
      <c r="I10" s="49"/>
      <c r="J10" s="49"/>
      <c r="K10" s="49"/>
      <c r="L10" s="49"/>
      <c r="M10" s="49"/>
      <c r="N10" s="49"/>
      <c r="O10" s="71"/>
    </row>
    <row r="11" spans="2:15" s="125" customFormat="1" ht="42" customHeight="1" x14ac:dyDescent="0.35">
      <c r="B11" s="157" t="s">
        <v>168</v>
      </c>
      <c r="C11" s="157" t="s">
        <v>151</v>
      </c>
      <c r="D11" s="157" t="s">
        <v>237</v>
      </c>
      <c r="E11" s="157" t="s">
        <v>238</v>
      </c>
      <c r="F11" s="159" t="s">
        <v>244</v>
      </c>
      <c r="G11" s="157" t="s">
        <v>233</v>
      </c>
      <c r="H11" s="157" t="s">
        <v>231</v>
      </c>
      <c r="I11" s="186" t="s">
        <v>245</v>
      </c>
      <c r="J11" s="159" t="s">
        <v>230</v>
      </c>
      <c r="K11" s="157" t="s">
        <v>227</v>
      </c>
      <c r="L11" s="188" t="s">
        <v>177</v>
      </c>
      <c r="M11" s="157" t="s">
        <v>181</v>
      </c>
      <c r="N11" s="157" t="s">
        <v>169</v>
      </c>
      <c r="O11" s="155" t="s">
        <v>239</v>
      </c>
    </row>
    <row r="12" spans="2:15" ht="23.85" customHeight="1" x14ac:dyDescent="0.35">
      <c r="B12" s="156"/>
      <c r="C12" s="156"/>
      <c r="D12" s="156"/>
      <c r="E12" s="156"/>
      <c r="F12" s="156"/>
      <c r="G12" s="156"/>
      <c r="H12" s="156"/>
      <c r="I12" s="187"/>
      <c r="J12" s="156"/>
      <c r="K12" s="156"/>
      <c r="L12" s="187"/>
      <c r="M12" s="156"/>
      <c r="N12" s="156"/>
      <c r="O12" s="156"/>
    </row>
    <row r="13" spans="2:15" s="80" customFormat="1" hidden="1" x14ac:dyDescent="0.3">
      <c r="B13" s="39"/>
      <c r="C13" s="73"/>
      <c r="D13" s="137" t="str">
        <f t="shared" ref="D13:D54" si="0">IFERROR(IF(VLOOKUP(C13,PartnerN°Ref,2,FALSE)=0,"",VLOOKUP(C13,PartnerN°Ref,2,FALSE)),"")</f>
        <v/>
      </c>
      <c r="E13" s="137" t="str">
        <f t="shared" ref="E13:E54" si="1">IFERROR(IF(OR(VLOOKUP(C13,PartnerN°Ref,4,FALSE)="Country not found",VLOOKUP(C13,PartnerN°Ref,3,FALSE)=0),"",VLOOKUP(C13,PartnerN°Ref,3,FALSE)),"")</f>
        <v/>
      </c>
      <c r="F13" s="95"/>
      <c r="G13" s="85"/>
      <c r="H13" s="86">
        <v>0</v>
      </c>
      <c r="I13" s="95"/>
      <c r="J13" s="84"/>
      <c r="K13" s="86">
        <v>0</v>
      </c>
      <c r="L13" s="87">
        <f t="shared" ref="L13:L54" si="2">IF(O13="Error",0,ROUND(ROUND(H13,0)*(VLOOKUP(J13,TravelCosts,2,FALSE)),2))</f>
        <v>0</v>
      </c>
      <c r="M13" s="88">
        <f t="shared" ref="M13:M54" si="3">IF(O13="Error",0,IF(AND(G13="Staff",K13&gt;0,K13&lt;15),(120*K13)*H13,IF(AND(G13="Staff",K13&gt;14,K13&lt;61),(1680+((K13-14)*70))*H13,IF(AND(G13="Staff",K13&gt;60,K13&lt;91),(4900+((K13-60)*50))*H13,IF(AND(G13="Student",K13&gt;0,K13&lt;15),(55*K13)*H13,IF(AND(G13="Student",K13&gt;14,K13&lt;91),(770+((K13-14)*40))*H13,0))))))</f>
        <v>0</v>
      </c>
      <c r="N13" s="89">
        <f t="shared" ref="N13" si="4">L13+M13</f>
        <v>0</v>
      </c>
      <c r="O13" s="79" t="str">
        <f t="shared" ref="O13:O54" si="5">IF(OR(COUNTIF(WorkPackage,B13)=0,COUNTIF(PartnerN°,C13)=0,D13="",COUNTIF(CountryALL,E13)=0,F13="",COUNTIF(Category2,G13)=0,ISNUMBER(H13)=FALSE,I13="",COUNTIF(TravelBands,J13)=0,ISNUMBER(K13)=FALSE,OR(K13&lt;0,K13&gt;90),IF(ISNUMBER(H13)=TRUE,H13=INT(H13*1)/1=FALSE),IF(ISNUMBER(K13)=TRUE,K13=INT(K13*1)/1=FALSE)),"Error","")</f>
        <v>Error</v>
      </c>
    </row>
    <row r="14" spans="2:15" s="80" customFormat="1" ht="36" x14ac:dyDescent="0.3">
      <c r="B14" s="39" t="s">
        <v>178</v>
      </c>
      <c r="C14" s="73" t="s">
        <v>9</v>
      </c>
      <c r="D14" s="137" t="str">
        <f t="shared" si="0"/>
        <v>Kibbutzim College of Education, Technology and Arts</v>
      </c>
      <c r="E14" s="137" t="str">
        <f t="shared" si="1"/>
        <v>Israel</v>
      </c>
      <c r="F14" s="84" t="s">
        <v>389</v>
      </c>
      <c r="G14" s="85" t="s">
        <v>226</v>
      </c>
      <c r="H14" s="86">
        <v>6</v>
      </c>
      <c r="I14" s="84" t="s">
        <v>390</v>
      </c>
      <c r="J14" s="84" t="s">
        <v>158</v>
      </c>
      <c r="K14" s="86">
        <v>5</v>
      </c>
      <c r="L14" s="87">
        <f t="shared" si="2"/>
        <v>3180</v>
      </c>
      <c r="M14" s="88">
        <f t="shared" si="3"/>
        <v>3600</v>
      </c>
      <c r="N14" s="89">
        <f t="shared" ref="N14:N218" si="6">L14+M14</f>
        <v>6780</v>
      </c>
      <c r="O14" s="79" t="str">
        <f t="shared" si="5"/>
        <v/>
      </c>
    </row>
    <row r="15" spans="2:15" s="80" customFormat="1" ht="36" x14ac:dyDescent="0.3">
      <c r="B15" s="39" t="s">
        <v>178</v>
      </c>
      <c r="C15" s="73" t="s">
        <v>9</v>
      </c>
      <c r="D15" s="137" t="str">
        <f t="shared" si="0"/>
        <v>Kibbutzim College of Education, Technology and Arts</v>
      </c>
      <c r="E15" s="137" t="str">
        <f t="shared" si="1"/>
        <v>Israel</v>
      </c>
      <c r="F15" s="84" t="s">
        <v>389</v>
      </c>
      <c r="G15" s="85" t="s">
        <v>228</v>
      </c>
      <c r="H15" s="86">
        <v>3</v>
      </c>
      <c r="I15" s="84" t="s">
        <v>390</v>
      </c>
      <c r="J15" s="84" t="s">
        <v>158</v>
      </c>
      <c r="K15" s="86">
        <v>14</v>
      </c>
      <c r="L15" s="87">
        <f t="shared" si="2"/>
        <v>1590</v>
      </c>
      <c r="M15" s="88">
        <f t="shared" si="3"/>
        <v>2310</v>
      </c>
      <c r="N15" s="89">
        <f t="shared" si="6"/>
        <v>3900</v>
      </c>
      <c r="O15" s="79" t="str">
        <f t="shared" si="5"/>
        <v/>
      </c>
    </row>
    <row r="16" spans="2:15" s="80" customFormat="1" ht="36" x14ac:dyDescent="0.3">
      <c r="B16" s="39" t="s">
        <v>178</v>
      </c>
      <c r="C16" s="73" t="s">
        <v>9</v>
      </c>
      <c r="D16" s="137" t="str">
        <f t="shared" si="0"/>
        <v>Kibbutzim College of Education, Technology and Arts</v>
      </c>
      <c r="E16" s="137" t="str">
        <f t="shared" si="1"/>
        <v>Israel</v>
      </c>
      <c r="F16" s="84" t="s">
        <v>389</v>
      </c>
      <c r="G16" s="85" t="s">
        <v>226</v>
      </c>
      <c r="H16" s="86">
        <v>5</v>
      </c>
      <c r="I16" s="84" t="s">
        <v>465</v>
      </c>
      <c r="J16" s="84" t="s">
        <v>329</v>
      </c>
      <c r="K16" s="86">
        <v>5</v>
      </c>
      <c r="L16" s="87">
        <f t="shared" si="2"/>
        <v>0</v>
      </c>
      <c r="M16" s="88">
        <f t="shared" si="3"/>
        <v>3000</v>
      </c>
      <c r="N16" s="89">
        <f t="shared" si="6"/>
        <v>3000</v>
      </c>
      <c r="O16" s="79" t="str">
        <f t="shared" si="5"/>
        <v/>
      </c>
    </row>
    <row r="17" spans="2:15" s="80" customFormat="1" ht="36" x14ac:dyDescent="0.3">
      <c r="B17" s="39" t="s">
        <v>178</v>
      </c>
      <c r="C17" s="73" t="s">
        <v>9</v>
      </c>
      <c r="D17" s="137" t="str">
        <f t="shared" si="0"/>
        <v>Kibbutzim College of Education, Technology and Arts</v>
      </c>
      <c r="E17" s="137" t="str">
        <f t="shared" si="1"/>
        <v>Israel</v>
      </c>
      <c r="F17" s="84" t="s">
        <v>389</v>
      </c>
      <c r="G17" s="85" t="s">
        <v>228</v>
      </c>
      <c r="H17" s="86">
        <v>8</v>
      </c>
      <c r="I17" s="84" t="s">
        <v>465</v>
      </c>
      <c r="J17" s="84" t="s">
        <v>329</v>
      </c>
      <c r="K17" s="86">
        <v>4</v>
      </c>
      <c r="L17" s="87">
        <f t="shared" si="2"/>
        <v>0</v>
      </c>
      <c r="M17" s="88">
        <f t="shared" si="3"/>
        <v>1760</v>
      </c>
      <c r="N17" s="89">
        <f t="shared" si="6"/>
        <v>1760</v>
      </c>
      <c r="O17" s="79" t="str">
        <f t="shared" si="5"/>
        <v/>
      </c>
    </row>
    <row r="18" spans="2:15" s="80" customFormat="1" ht="36" x14ac:dyDescent="0.3">
      <c r="B18" s="39" t="s">
        <v>372</v>
      </c>
      <c r="C18" s="73" t="s">
        <v>9</v>
      </c>
      <c r="D18" s="137" t="str">
        <f t="shared" si="0"/>
        <v>Kibbutzim College of Education, Technology and Arts</v>
      </c>
      <c r="E18" s="137" t="str">
        <f t="shared" si="1"/>
        <v>Israel</v>
      </c>
      <c r="F18" s="84" t="s">
        <v>389</v>
      </c>
      <c r="G18" s="85" t="s">
        <v>226</v>
      </c>
      <c r="H18" s="86">
        <v>2</v>
      </c>
      <c r="I18" s="84" t="s">
        <v>391</v>
      </c>
      <c r="J18" s="84" t="s">
        <v>155</v>
      </c>
      <c r="K18" s="86">
        <v>5</v>
      </c>
      <c r="L18" s="87">
        <f t="shared" si="2"/>
        <v>720</v>
      </c>
      <c r="M18" s="88">
        <f t="shared" si="3"/>
        <v>1200</v>
      </c>
      <c r="N18" s="89">
        <f t="shared" si="6"/>
        <v>1920</v>
      </c>
      <c r="O18" s="79" t="str">
        <f t="shared" si="5"/>
        <v/>
      </c>
    </row>
    <row r="19" spans="2:15" s="80" customFormat="1" ht="36" x14ac:dyDescent="0.3">
      <c r="B19" s="39" t="s">
        <v>372</v>
      </c>
      <c r="C19" s="73" t="s">
        <v>9</v>
      </c>
      <c r="D19" s="137" t="str">
        <f t="shared" ref="D19" si="7">IFERROR(IF(VLOOKUP(C19,PartnerN°Ref,2,FALSE)=0,"",VLOOKUP(C19,PartnerN°Ref,2,FALSE)),"")</f>
        <v>Kibbutzim College of Education, Technology and Arts</v>
      </c>
      <c r="E19" s="137" t="str">
        <f t="shared" ref="E19" si="8">IFERROR(IF(OR(VLOOKUP(C19,PartnerN°Ref,4,FALSE)="Country not found",VLOOKUP(C19,PartnerN°Ref,3,FALSE)=0),"",VLOOKUP(C19,PartnerN°Ref,3,FALSE)),"")</f>
        <v>Israel</v>
      </c>
      <c r="F19" s="84" t="s">
        <v>389</v>
      </c>
      <c r="G19" s="85" t="s">
        <v>226</v>
      </c>
      <c r="H19" s="86">
        <v>2</v>
      </c>
      <c r="I19" s="84" t="s">
        <v>395</v>
      </c>
      <c r="J19" s="84" t="s">
        <v>158</v>
      </c>
      <c r="K19" s="86">
        <v>5</v>
      </c>
      <c r="L19" s="87">
        <f t="shared" ref="L19" si="9">IF(O19="Error",0,ROUND(ROUND(H19,0)*(VLOOKUP(J19,TravelCosts,2,FALSE)),2))</f>
        <v>1060</v>
      </c>
      <c r="M19" s="88">
        <f t="shared" ref="M19" si="10">IF(O19="Error",0,IF(AND(G19="Staff",K19&gt;0,K19&lt;15),(120*K19)*H19,IF(AND(G19="Staff",K19&gt;14,K19&lt;61),(1680+((K19-14)*70))*H19,IF(AND(G19="Staff",K19&gt;60,K19&lt;91),(4900+((K19-60)*50))*H19,IF(AND(G19="Student",K19&gt;0,K19&lt;15),(55*K19)*H19,IF(AND(G19="Student",K19&gt;14,K19&lt;91),(770+((K19-14)*40))*H19,0))))))</f>
        <v>1200</v>
      </c>
      <c r="N19" s="89">
        <f t="shared" si="6"/>
        <v>2260</v>
      </c>
      <c r="O19" s="79" t="str">
        <f t="shared" ref="O19" si="11">IF(OR(COUNTIF(WorkPackage,B19)=0,COUNTIF(PartnerN°,C19)=0,D19="",COUNTIF(CountryALL,E19)=0,F19="",COUNTIF(Category2,G19)=0,ISNUMBER(H19)=FALSE,I19="",COUNTIF(TravelBands,J19)=0,ISNUMBER(K19)=FALSE,OR(K19&lt;0,K19&gt;90),IF(ISNUMBER(H19)=TRUE,H19=INT(H19*1)/1=FALSE),IF(ISNUMBER(K19)=TRUE,K19=INT(K19*1)/1=FALSE)),"Error","")</f>
        <v/>
      </c>
    </row>
    <row r="20" spans="2:15" s="80" customFormat="1" ht="36" x14ac:dyDescent="0.3">
      <c r="B20" s="39" t="s">
        <v>178</v>
      </c>
      <c r="C20" s="73" t="s">
        <v>9</v>
      </c>
      <c r="D20" s="137" t="str">
        <f t="shared" si="0"/>
        <v>Kibbutzim College of Education, Technology and Arts</v>
      </c>
      <c r="E20" s="137" t="str">
        <f t="shared" si="1"/>
        <v>Israel</v>
      </c>
      <c r="F20" s="84" t="s">
        <v>389</v>
      </c>
      <c r="G20" s="85" t="s">
        <v>226</v>
      </c>
      <c r="H20" s="86">
        <v>6</v>
      </c>
      <c r="I20" s="84" t="s">
        <v>392</v>
      </c>
      <c r="J20" s="84" t="s">
        <v>158</v>
      </c>
      <c r="K20" s="86">
        <v>5</v>
      </c>
      <c r="L20" s="87">
        <f t="shared" si="2"/>
        <v>3180</v>
      </c>
      <c r="M20" s="88">
        <f t="shared" si="3"/>
        <v>3600</v>
      </c>
      <c r="N20" s="89">
        <f t="shared" si="6"/>
        <v>6780</v>
      </c>
      <c r="O20" s="79" t="str">
        <f t="shared" si="5"/>
        <v/>
      </c>
    </row>
    <row r="21" spans="2:15" s="80" customFormat="1" ht="36" x14ac:dyDescent="0.3">
      <c r="B21" s="39" t="s">
        <v>178</v>
      </c>
      <c r="C21" s="73" t="s">
        <v>9</v>
      </c>
      <c r="D21" s="137" t="str">
        <f t="shared" si="0"/>
        <v>Kibbutzim College of Education, Technology and Arts</v>
      </c>
      <c r="E21" s="137" t="str">
        <f t="shared" si="1"/>
        <v>Israel</v>
      </c>
      <c r="F21" s="84" t="s">
        <v>389</v>
      </c>
      <c r="G21" s="85" t="s">
        <v>226</v>
      </c>
      <c r="H21" s="86">
        <v>5</v>
      </c>
      <c r="I21" s="84" t="s">
        <v>465</v>
      </c>
      <c r="J21" s="84" t="s">
        <v>329</v>
      </c>
      <c r="K21" s="86">
        <v>5</v>
      </c>
      <c r="L21" s="87">
        <f t="shared" si="2"/>
        <v>0</v>
      </c>
      <c r="M21" s="88">
        <f t="shared" si="3"/>
        <v>3000</v>
      </c>
      <c r="N21" s="89">
        <f t="shared" si="6"/>
        <v>3000</v>
      </c>
      <c r="O21" s="79" t="str">
        <f t="shared" si="5"/>
        <v/>
      </c>
    </row>
    <row r="22" spans="2:15" s="80" customFormat="1" ht="36" x14ac:dyDescent="0.3">
      <c r="B22" s="39" t="s">
        <v>178</v>
      </c>
      <c r="C22" s="73" t="s">
        <v>9</v>
      </c>
      <c r="D22" s="137" t="str">
        <f t="shared" si="0"/>
        <v>Kibbutzim College of Education, Technology and Arts</v>
      </c>
      <c r="E22" s="137" t="str">
        <f t="shared" si="1"/>
        <v>Israel</v>
      </c>
      <c r="F22" s="84" t="s">
        <v>389</v>
      </c>
      <c r="G22" s="85" t="s">
        <v>228</v>
      </c>
      <c r="H22" s="86">
        <v>8</v>
      </c>
      <c r="I22" s="84" t="s">
        <v>465</v>
      </c>
      <c r="J22" s="84" t="s">
        <v>329</v>
      </c>
      <c r="K22" s="86">
        <v>4</v>
      </c>
      <c r="L22" s="87">
        <f t="shared" si="2"/>
        <v>0</v>
      </c>
      <c r="M22" s="88">
        <f t="shared" si="3"/>
        <v>1760</v>
      </c>
      <c r="N22" s="89">
        <f t="shared" si="6"/>
        <v>1760</v>
      </c>
      <c r="O22" s="79" t="str">
        <f t="shared" si="5"/>
        <v/>
      </c>
    </row>
    <row r="23" spans="2:15" s="80" customFormat="1" ht="36" x14ac:dyDescent="0.3">
      <c r="B23" s="39" t="s">
        <v>372</v>
      </c>
      <c r="C23" s="73" t="s">
        <v>9</v>
      </c>
      <c r="D23" s="137" t="str">
        <f t="shared" si="0"/>
        <v>Kibbutzim College of Education, Technology and Arts</v>
      </c>
      <c r="E23" s="137" t="str">
        <f t="shared" si="1"/>
        <v>Israel</v>
      </c>
      <c r="F23" s="84" t="s">
        <v>389</v>
      </c>
      <c r="G23" s="85" t="s">
        <v>226</v>
      </c>
      <c r="H23" s="86">
        <v>2</v>
      </c>
      <c r="I23" s="84" t="s">
        <v>393</v>
      </c>
      <c r="J23" s="84" t="s">
        <v>158</v>
      </c>
      <c r="K23" s="86">
        <v>5</v>
      </c>
      <c r="L23" s="87">
        <f t="shared" si="2"/>
        <v>1060</v>
      </c>
      <c r="M23" s="88">
        <f t="shared" si="3"/>
        <v>1200</v>
      </c>
      <c r="N23" s="89">
        <f t="shared" si="6"/>
        <v>2260</v>
      </c>
      <c r="O23" s="79" t="str">
        <f t="shared" si="5"/>
        <v/>
      </c>
    </row>
    <row r="24" spans="2:15" s="80" customFormat="1" ht="36" x14ac:dyDescent="0.3">
      <c r="B24" s="39" t="s">
        <v>372</v>
      </c>
      <c r="C24" s="73" t="s">
        <v>9</v>
      </c>
      <c r="D24" s="137" t="str">
        <f t="shared" ref="D24" si="12">IFERROR(IF(VLOOKUP(C24,PartnerN°Ref,2,FALSE)=0,"",VLOOKUP(C24,PartnerN°Ref,2,FALSE)),"")</f>
        <v>Kibbutzim College of Education, Technology and Arts</v>
      </c>
      <c r="E24" s="137" t="str">
        <f t="shared" ref="E24" si="13">IFERROR(IF(OR(VLOOKUP(C24,PartnerN°Ref,4,FALSE)="Country not found",VLOOKUP(C24,PartnerN°Ref,3,FALSE)=0),"",VLOOKUP(C24,PartnerN°Ref,3,FALSE)),"")</f>
        <v>Israel</v>
      </c>
      <c r="F24" s="84" t="s">
        <v>389</v>
      </c>
      <c r="G24" s="85" t="s">
        <v>226</v>
      </c>
      <c r="H24" s="86">
        <v>2</v>
      </c>
      <c r="I24" s="95" t="s">
        <v>396</v>
      </c>
      <c r="J24" s="84" t="s">
        <v>154</v>
      </c>
      <c r="K24" s="86">
        <v>5</v>
      </c>
      <c r="L24" s="87">
        <f t="shared" ref="L24" si="14">IF(O24="Error",0,ROUND(ROUND(H24,0)*(VLOOKUP(J24,TravelCosts,2,FALSE)),2))</f>
        <v>550</v>
      </c>
      <c r="M24" s="88">
        <f t="shared" ref="M24" si="15">IF(O24="Error",0,IF(AND(G24="Staff",K24&gt;0,K24&lt;15),(120*K24)*H24,IF(AND(G24="Staff",K24&gt;14,K24&lt;61),(1680+((K24-14)*70))*H24,IF(AND(G24="Staff",K24&gt;60,K24&lt;91),(4900+((K24-60)*50))*H24,IF(AND(G24="Student",K24&gt;0,K24&lt;15),(55*K24)*H24,IF(AND(G24="Student",K24&gt;14,K24&lt;91),(770+((K24-14)*40))*H24,0))))))</f>
        <v>1200</v>
      </c>
      <c r="N24" s="89">
        <f t="shared" si="6"/>
        <v>1750</v>
      </c>
      <c r="O24" s="79" t="str">
        <f t="shared" ref="O24" si="16">IF(OR(COUNTIF(WorkPackage,B24)=0,COUNTIF(PartnerN°,C24)=0,D24="",COUNTIF(CountryALL,E24)=0,F24="",COUNTIF(Category2,G24)=0,ISNUMBER(H24)=FALSE,I24="",COUNTIF(TravelBands,J24)=0,ISNUMBER(K24)=FALSE,OR(K24&lt;0,K24&gt;90),IF(ISNUMBER(H24)=TRUE,H24=INT(H24*1)/1=FALSE),IF(ISNUMBER(K24)=TRUE,K24=INT(K24*1)/1=FALSE)),"Error","")</f>
        <v/>
      </c>
    </row>
    <row r="25" spans="2:15" s="80" customFormat="1" ht="36" x14ac:dyDescent="0.3">
      <c r="B25" s="39" t="s">
        <v>178</v>
      </c>
      <c r="C25" s="73" t="s">
        <v>9</v>
      </c>
      <c r="D25" s="137" t="str">
        <f t="shared" si="0"/>
        <v>Kibbutzim College of Education, Technology and Arts</v>
      </c>
      <c r="E25" s="137" t="str">
        <f t="shared" si="1"/>
        <v>Israel</v>
      </c>
      <c r="F25" s="84" t="s">
        <v>389</v>
      </c>
      <c r="G25" s="85" t="s">
        <v>226</v>
      </c>
      <c r="H25" s="86">
        <v>6</v>
      </c>
      <c r="I25" s="84" t="s">
        <v>394</v>
      </c>
      <c r="J25" s="84" t="s">
        <v>154</v>
      </c>
      <c r="K25" s="86">
        <v>5</v>
      </c>
      <c r="L25" s="87">
        <f t="shared" si="2"/>
        <v>1650</v>
      </c>
      <c r="M25" s="88">
        <f t="shared" si="3"/>
        <v>3600</v>
      </c>
      <c r="N25" s="89">
        <f t="shared" si="6"/>
        <v>5250</v>
      </c>
      <c r="O25" s="79" t="str">
        <f t="shared" si="5"/>
        <v/>
      </c>
    </row>
    <row r="26" spans="2:15" s="80" customFormat="1" ht="36" x14ac:dyDescent="0.3">
      <c r="B26" s="39" t="s">
        <v>178</v>
      </c>
      <c r="C26" s="73" t="s">
        <v>9</v>
      </c>
      <c r="D26" s="137" t="str">
        <f t="shared" si="0"/>
        <v>Kibbutzim College of Education, Technology and Arts</v>
      </c>
      <c r="E26" s="137" t="str">
        <f t="shared" si="1"/>
        <v>Israel</v>
      </c>
      <c r="F26" s="84" t="s">
        <v>389</v>
      </c>
      <c r="G26" s="85" t="s">
        <v>226</v>
      </c>
      <c r="H26" s="86">
        <v>5</v>
      </c>
      <c r="I26" s="84" t="s">
        <v>465</v>
      </c>
      <c r="J26" s="84" t="s">
        <v>329</v>
      </c>
      <c r="K26" s="86">
        <v>5</v>
      </c>
      <c r="L26" s="87">
        <f t="shared" si="2"/>
        <v>0</v>
      </c>
      <c r="M26" s="88">
        <f t="shared" si="3"/>
        <v>3000</v>
      </c>
      <c r="N26" s="89">
        <f t="shared" si="6"/>
        <v>3000</v>
      </c>
      <c r="O26" s="79" t="str">
        <f t="shared" si="5"/>
        <v/>
      </c>
    </row>
    <row r="27" spans="2:15" s="80" customFormat="1" ht="36" x14ac:dyDescent="0.3">
      <c r="B27" s="39" t="s">
        <v>178</v>
      </c>
      <c r="C27" s="73" t="s">
        <v>9</v>
      </c>
      <c r="D27" s="137" t="str">
        <f t="shared" si="0"/>
        <v>Kibbutzim College of Education, Technology and Arts</v>
      </c>
      <c r="E27" s="137" t="str">
        <f t="shared" si="1"/>
        <v>Israel</v>
      </c>
      <c r="F27" s="84" t="s">
        <v>389</v>
      </c>
      <c r="G27" s="85" t="s">
        <v>228</v>
      </c>
      <c r="H27" s="86">
        <v>8</v>
      </c>
      <c r="I27" s="84" t="s">
        <v>465</v>
      </c>
      <c r="J27" s="84" t="s">
        <v>329</v>
      </c>
      <c r="K27" s="86">
        <v>4</v>
      </c>
      <c r="L27" s="87">
        <f t="shared" si="2"/>
        <v>0</v>
      </c>
      <c r="M27" s="88">
        <f t="shared" si="3"/>
        <v>1760</v>
      </c>
      <c r="N27" s="89">
        <f t="shared" si="6"/>
        <v>1760</v>
      </c>
      <c r="O27" s="79" t="str">
        <f t="shared" si="5"/>
        <v/>
      </c>
    </row>
    <row r="28" spans="2:15" s="80" customFormat="1" ht="36" x14ac:dyDescent="0.3">
      <c r="B28" s="39" t="s">
        <v>372</v>
      </c>
      <c r="C28" s="73" t="s">
        <v>9</v>
      </c>
      <c r="D28" s="137" t="str">
        <f t="shared" si="0"/>
        <v>Kibbutzim College of Education, Technology and Arts</v>
      </c>
      <c r="E28" s="137" t="str">
        <f t="shared" si="1"/>
        <v>Israel</v>
      </c>
      <c r="F28" s="84" t="s">
        <v>389</v>
      </c>
      <c r="G28" s="85" t="s">
        <v>226</v>
      </c>
      <c r="H28" s="86">
        <v>2</v>
      </c>
      <c r="I28" s="84" t="s">
        <v>395</v>
      </c>
      <c r="J28" s="84" t="s">
        <v>158</v>
      </c>
      <c r="K28" s="86">
        <v>5</v>
      </c>
      <c r="L28" s="87">
        <f t="shared" si="2"/>
        <v>1060</v>
      </c>
      <c r="M28" s="88">
        <f t="shared" si="3"/>
        <v>1200</v>
      </c>
      <c r="N28" s="89">
        <f t="shared" si="6"/>
        <v>2260</v>
      </c>
      <c r="O28" s="79" t="str">
        <f t="shared" si="5"/>
        <v/>
      </c>
    </row>
    <row r="29" spans="2:15" s="80" customFormat="1" ht="36" x14ac:dyDescent="0.3">
      <c r="B29" s="39" t="s">
        <v>372</v>
      </c>
      <c r="C29" s="73" t="s">
        <v>9</v>
      </c>
      <c r="D29" s="137" t="str">
        <f t="shared" ref="D29" si="17">IFERROR(IF(VLOOKUP(C29,PartnerN°Ref,2,FALSE)=0,"",VLOOKUP(C29,PartnerN°Ref,2,FALSE)),"")</f>
        <v>Kibbutzim College of Education, Technology and Arts</v>
      </c>
      <c r="E29" s="137" t="str">
        <f t="shared" ref="E29" si="18">IFERROR(IF(OR(VLOOKUP(C29,PartnerN°Ref,4,FALSE)="Country not found",VLOOKUP(C29,PartnerN°Ref,3,FALSE)=0),"",VLOOKUP(C29,PartnerN°Ref,3,FALSE)),"")</f>
        <v>Israel</v>
      </c>
      <c r="F29" s="84" t="s">
        <v>389</v>
      </c>
      <c r="G29" s="85" t="s">
        <v>226</v>
      </c>
      <c r="H29" s="86">
        <v>2</v>
      </c>
      <c r="I29" s="84" t="s">
        <v>391</v>
      </c>
      <c r="J29" s="84" t="s">
        <v>155</v>
      </c>
      <c r="K29" s="86">
        <v>5</v>
      </c>
      <c r="L29" s="87">
        <f t="shared" ref="L29" si="19">IF(O29="Error",0,ROUND(ROUND(H29,0)*(VLOOKUP(J29,TravelCosts,2,FALSE)),2))</f>
        <v>720</v>
      </c>
      <c r="M29" s="88">
        <f t="shared" ref="M29" si="20">IF(O29="Error",0,IF(AND(G29="Staff",K29&gt;0,K29&lt;15),(120*K29)*H29,IF(AND(G29="Staff",K29&gt;14,K29&lt;61),(1680+((K29-14)*70))*H29,IF(AND(G29="Staff",K29&gt;60,K29&lt;91),(4900+((K29-60)*50))*H29,IF(AND(G29="Student",K29&gt;0,K29&lt;15),(55*K29)*H29,IF(AND(G29="Student",K29&gt;14,K29&lt;91),(770+((K29-14)*40))*H29,0))))))</f>
        <v>1200</v>
      </c>
      <c r="N29" s="89">
        <f t="shared" si="6"/>
        <v>1920</v>
      </c>
      <c r="O29" s="79" t="str">
        <f t="shared" ref="O29" si="21">IF(OR(COUNTIF(WorkPackage,B29)=0,COUNTIF(PartnerN°,C29)=0,D29="",COUNTIF(CountryALL,E29)=0,F29="",COUNTIF(Category2,G29)=0,ISNUMBER(H29)=FALSE,I29="",COUNTIF(TravelBands,J29)=0,ISNUMBER(K29)=FALSE,OR(K29&lt;0,K29&gt;90),IF(ISNUMBER(H29)=TRUE,H29=INT(H29*1)/1=FALSE),IF(ISNUMBER(K29)=TRUE,K29=INT(K29*1)/1=FALSE)),"Error","")</f>
        <v/>
      </c>
    </row>
    <row r="30" spans="2:15" s="80" customFormat="1" ht="36" x14ac:dyDescent="0.3">
      <c r="B30" s="39" t="s">
        <v>180</v>
      </c>
      <c r="C30" s="73" t="s">
        <v>9</v>
      </c>
      <c r="D30" s="137" t="str">
        <f t="shared" ref="D30:D33" si="22">IFERROR(IF(VLOOKUP(C30,PartnerN°Ref,2,FALSE)=0,"",VLOOKUP(C30,PartnerN°Ref,2,FALSE)),"")</f>
        <v>Kibbutzim College of Education, Technology and Arts</v>
      </c>
      <c r="E30" s="137" t="str">
        <f t="shared" ref="E30:E33" si="23">IFERROR(IF(OR(VLOOKUP(C30,PartnerN°Ref,4,FALSE)="Country not found",VLOOKUP(C30,PartnerN°Ref,3,FALSE)=0),"",VLOOKUP(C30,PartnerN°Ref,3,FALSE)),"")</f>
        <v>Israel</v>
      </c>
      <c r="F30" s="84" t="s">
        <v>389</v>
      </c>
      <c r="G30" s="85" t="s">
        <v>226</v>
      </c>
      <c r="H30" s="86">
        <v>60</v>
      </c>
      <c r="I30" s="95" t="s">
        <v>470</v>
      </c>
      <c r="J30" s="84" t="s">
        <v>329</v>
      </c>
      <c r="K30" s="86">
        <v>1</v>
      </c>
      <c r="L30" s="87">
        <f t="shared" ref="L30:L33" si="24">IF(O30="Error",0,ROUND(ROUND(H30,0)*(VLOOKUP(J30,TravelCosts,2,FALSE)),2))</f>
        <v>0</v>
      </c>
      <c r="M30" s="88">
        <f t="shared" ref="M30:M33" si="25">IF(O30="Error",0,IF(AND(G30="Staff",K30&gt;0,K30&lt;15),(120*K30)*H30,IF(AND(G30="Staff",K30&gt;14,K30&lt;61),(1680+((K30-14)*70))*H30,IF(AND(G30="Staff",K30&gt;60,K30&lt;91),(4900+((K30-60)*50))*H30,IF(AND(G30="Student",K30&gt;0,K30&lt;15),(55*K30)*H30,IF(AND(G30="Student",K30&gt;14,K30&lt;91),(770+((K30-14)*40))*H30,0))))))</f>
        <v>7200</v>
      </c>
      <c r="N30" s="89">
        <f t="shared" si="6"/>
        <v>7200</v>
      </c>
      <c r="O30" s="79" t="str">
        <f t="shared" ref="O30:O33" si="26">IF(OR(COUNTIF(WorkPackage,B30)=0,COUNTIF(PartnerN°,C30)=0,D30="",COUNTIF(CountryALL,E30)=0,F30="",COUNTIF(Category2,G30)=0,ISNUMBER(H30)=FALSE,I30="",COUNTIF(TravelBands,J30)=0,ISNUMBER(K30)=FALSE,OR(K30&lt;0,K30&gt;90),IF(ISNUMBER(H30)=TRUE,H30=INT(H30*1)/1=FALSE),IF(ISNUMBER(K30)=TRUE,K30=INT(K30*1)/1=FALSE)),"Error","")</f>
        <v/>
      </c>
    </row>
    <row r="31" spans="2:15" s="80" customFormat="1" ht="36" x14ac:dyDescent="0.3">
      <c r="B31" s="39" t="s">
        <v>372</v>
      </c>
      <c r="C31" s="73" t="s">
        <v>9</v>
      </c>
      <c r="D31" s="137" t="str">
        <f t="shared" si="22"/>
        <v>Kibbutzim College of Education, Technology and Arts</v>
      </c>
      <c r="E31" s="137" t="str">
        <f t="shared" si="23"/>
        <v>Israel</v>
      </c>
      <c r="F31" s="84" t="s">
        <v>389</v>
      </c>
      <c r="G31" s="85" t="s">
        <v>226</v>
      </c>
      <c r="H31" s="86">
        <v>30</v>
      </c>
      <c r="I31" s="95" t="s">
        <v>470</v>
      </c>
      <c r="J31" s="84" t="s">
        <v>329</v>
      </c>
      <c r="K31" s="86">
        <v>1</v>
      </c>
      <c r="L31" s="87">
        <f t="shared" si="24"/>
        <v>0</v>
      </c>
      <c r="M31" s="88">
        <f t="shared" si="25"/>
        <v>3600</v>
      </c>
      <c r="N31" s="89">
        <f t="shared" si="6"/>
        <v>3600</v>
      </c>
      <c r="O31" s="79" t="str">
        <f t="shared" si="26"/>
        <v/>
      </c>
    </row>
    <row r="32" spans="2:15" s="80" customFormat="1" ht="36" x14ac:dyDescent="0.3">
      <c r="B32" s="39" t="s">
        <v>178</v>
      </c>
      <c r="C32" s="73" t="s">
        <v>9</v>
      </c>
      <c r="D32" s="137" t="str">
        <f t="shared" si="22"/>
        <v>Kibbutzim College of Education, Technology and Arts</v>
      </c>
      <c r="E32" s="137" t="str">
        <f t="shared" si="23"/>
        <v>Israel</v>
      </c>
      <c r="F32" s="84" t="s">
        <v>389</v>
      </c>
      <c r="G32" s="85" t="s">
        <v>226</v>
      </c>
      <c r="H32" s="86">
        <v>6</v>
      </c>
      <c r="I32" s="84" t="s">
        <v>401</v>
      </c>
      <c r="J32" s="84" t="s">
        <v>155</v>
      </c>
      <c r="K32" s="86">
        <v>5</v>
      </c>
      <c r="L32" s="87">
        <f t="shared" si="24"/>
        <v>2160</v>
      </c>
      <c r="M32" s="88">
        <f t="shared" si="25"/>
        <v>3600</v>
      </c>
      <c r="N32" s="89">
        <f t="shared" si="6"/>
        <v>5760</v>
      </c>
      <c r="O32" s="79" t="str">
        <f t="shared" si="26"/>
        <v/>
      </c>
    </row>
    <row r="33" spans="2:15" s="80" customFormat="1" ht="36" x14ac:dyDescent="0.3">
      <c r="B33" s="39" t="s">
        <v>178</v>
      </c>
      <c r="C33" s="73" t="s">
        <v>9</v>
      </c>
      <c r="D33" s="137" t="str">
        <f t="shared" si="22"/>
        <v>Kibbutzim College of Education, Technology and Arts</v>
      </c>
      <c r="E33" s="137" t="str">
        <f t="shared" si="23"/>
        <v>Israel</v>
      </c>
      <c r="F33" s="84" t="s">
        <v>389</v>
      </c>
      <c r="G33" s="85" t="s">
        <v>228</v>
      </c>
      <c r="H33" s="86">
        <v>3</v>
      </c>
      <c r="I33" s="84" t="s">
        <v>401</v>
      </c>
      <c r="J33" s="84" t="s">
        <v>155</v>
      </c>
      <c r="K33" s="86">
        <v>14</v>
      </c>
      <c r="L33" s="87">
        <f t="shared" si="24"/>
        <v>1080</v>
      </c>
      <c r="M33" s="88">
        <f t="shared" si="25"/>
        <v>2310</v>
      </c>
      <c r="N33" s="89">
        <f t="shared" si="6"/>
        <v>3390</v>
      </c>
      <c r="O33" s="79" t="str">
        <f t="shared" si="26"/>
        <v/>
      </c>
    </row>
    <row r="34" spans="2:15" s="80" customFormat="1" x14ac:dyDescent="0.3">
      <c r="B34" s="39" t="s">
        <v>178</v>
      </c>
      <c r="C34" s="73" t="s">
        <v>10</v>
      </c>
      <c r="D34" s="137" t="str">
        <f t="shared" si="0"/>
        <v>The MOFET Institute</v>
      </c>
      <c r="E34" s="137" t="str">
        <f t="shared" si="1"/>
        <v>Israel</v>
      </c>
      <c r="F34" s="84" t="s">
        <v>389</v>
      </c>
      <c r="G34" s="85" t="s">
        <v>226</v>
      </c>
      <c r="H34" s="86">
        <v>6</v>
      </c>
      <c r="I34" s="84" t="s">
        <v>390</v>
      </c>
      <c r="J34" s="84" t="s">
        <v>158</v>
      </c>
      <c r="K34" s="86">
        <v>5</v>
      </c>
      <c r="L34" s="87">
        <f t="shared" si="2"/>
        <v>3180</v>
      </c>
      <c r="M34" s="88">
        <f t="shared" si="3"/>
        <v>3600</v>
      </c>
      <c r="N34" s="89">
        <f t="shared" si="6"/>
        <v>6780</v>
      </c>
      <c r="O34" s="79" t="str">
        <f t="shared" si="5"/>
        <v/>
      </c>
    </row>
    <row r="35" spans="2:15" s="80" customFormat="1" x14ac:dyDescent="0.3">
      <c r="B35" s="39" t="s">
        <v>178</v>
      </c>
      <c r="C35" s="73" t="s">
        <v>10</v>
      </c>
      <c r="D35" s="137" t="str">
        <f t="shared" si="0"/>
        <v>The MOFET Institute</v>
      </c>
      <c r="E35" s="137" t="str">
        <f t="shared" si="1"/>
        <v>Israel</v>
      </c>
      <c r="F35" s="84" t="s">
        <v>389</v>
      </c>
      <c r="G35" s="85" t="s">
        <v>228</v>
      </c>
      <c r="H35" s="86">
        <v>3</v>
      </c>
      <c r="I35" s="84" t="s">
        <v>390</v>
      </c>
      <c r="J35" s="84" t="s">
        <v>158</v>
      </c>
      <c r="K35" s="86">
        <v>14</v>
      </c>
      <c r="L35" s="87">
        <f t="shared" si="2"/>
        <v>1590</v>
      </c>
      <c r="M35" s="88">
        <f t="shared" si="3"/>
        <v>2310</v>
      </c>
      <c r="N35" s="89">
        <f t="shared" si="6"/>
        <v>3900</v>
      </c>
      <c r="O35" s="79" t="str">
        <f t="shared" si="5"/>
        <v/>
      </c>
    </row>
    <row r="36" spans="2:15" s="80" customFormat="1" x14ac:dyDescent="0.3">
      <c r="B36" s="39" t="s">
        <v>178</v>
      </c>
      <c r="C36" s="73" t="s">
        <v>10</v>
      </c>
      <c r="D36" s="137" t="str">
        <f t="shared" si="0"/>
        <v>The MOFET Institute</v>
      </c>
      <c r="E36" s="137" t="str">
        <f t="shared" si="1"/>
        <v>Israel</v>
      </c>
      <c r="F36" s="84" t="s">
        <v>389</v>
      </c>
      <c r="G36" s="85" t="s">
        <v>226</v>
      </c>
      <c r="H36" s="86">
        <v>5</v>
      </c>
      <c r="I36" s="84" t="s">
        <v>465</v>
      </c>
      <c r="J36" s="84" t="s">
        <v>329</v>
      </c>
      <c r="K36" s="86">
        <v>5</v>
      </c>
      <c r="L36" s="87">
        <f t="shared" si="2"/>
        <v>0</v>
      </c>
      <c r="M36" s="88">
        <f t="shared" si="3"/>
        <v>3000</v>
      </c>
      <c r="N36" s="89">
        <f t="shared" si="6"/>
        <v>3000</v>
      </c>
      <c r="O36" s="79" t="str">
        <f t="shared" si="5"/>
        <v/>
      </c>
    </row>
    <row r="37" spans="2:15" s="80" customFormat="1" x14ac:dyDescent="0.3">
      <c r="B37" s="39" t="s">
        <v>178</v>
      </c>
      <c r="C37" s="73" t="s">
        <v>10</v>
      </c>
      <c r="D37" s="137" t="str">
        <f t="shared" si="0"/>
        <v>The MOFET Institute</v>
      </c>
      <c r="E37" s="137" t="str">
        <f t="shared" si="1"/>
        <v>Israel</v>
      </c>
      <c r="F37" s="84" t="s">
        <v>389</v>
      </c>
      <c r="G37" s="85" t="s">
        <v>228</v>
      </c>
      <c r="H37" s="86">
        <v>8</v>
      </c>
      <c r="I37" s="84" t="s">
        <v>465</v>
      </c>
      <c r="J37" s="84" t="s">
        <v>329</v>
      </c>
      <c r="K37" s="86">
        <v>4</v>
      </c>
      <c r="L37" s="87">
        <f t="shared" si="2"/>
        <v>0</v>
      </c>
      <c r="M37" s="88">
        <f t="shared" si="3"/>
        <v>1760</v>
      </c>
      <c r="N37" s="89">
        <f t="shared" si="6"/>
        <v>1760</v>
      </c>
      <c r="O37" s="79" t="str">
        <f t="shared" si="5"/>
        <v/>
      </c>
    </row>
    <row r="38" spans="2:15" s="80" customFormat="1" x14ac:dyDescent="0.3">
      <c r="B38" s="39" t="s">
        <v>372</v>
      </c>
      <c r="C38" s="73" t="s">
        <v>10</v>
      </c>
      <c r="D38" s="137" t="str">
        <f t="shared" si="0"/>
        <v>The MOFET Institute</v>
      </c>
      <c r="E38" s="137" t="str">
        <f t="shared" si="1"/>
        <v>Israel</v>
      </c>
      <c r="F38" s="84" t="s">
        <v>389</v>
      </c>
      <c r="G38" s="85" t="s">
        <v>226</v>
      </c>
      <c r="H38" s="86">
        <v>2</v>
      </c>
      <c r="I38" s="84" t="s">
        <v>391</v>
      </c>
      <c r="J38" s="84" t="s">
        <v>155</v>
      </c>
      <c r="K38" s="86">
        <v>5</v>
      </c>
      <c r="L38" s="87">
        <f t="shared" si="2"/>
        <v>720</v>
      </c>
      <c r="M38" s="88">
        <f t="shared" si="3"/>
        <v>1200</v>
      </c>
      <c r="N38" s="89">
        <f t="shared" si="6"/>
        <v>1920</v>
      </c>
      <c r="O38" s="79" t="str">
        <f t="shared" si="5"/>
        <v/>
      </c>
    </row>
    <row r="39" spans="2:15" s="80" customFormat="1" x14ac:dyDescent="0.3">
      <c r="B39" s="39" t="s">
        <v>372</v>
      </c>
      <c r="C39" s="73" t="s">
        <v>10</v>
      </c>
      <c r="D39" s="137" t="str">
        <f t="shared" ref="D39" si="27">IFERROR(IF(VLOOKUP(C39,PartnerN°Ref,2,FALSE)=0,"",VLOOKUP(C39,PartnerN°Ref,2,FALSE)),"")</f>
        <v>The MOFET Institute</v>
      </c>
      <c r="E39" s="137" t="str">
        <f t="shared" ref="E39" si="28">IFERROR(IF(OR(VLOOKUP(C39,PartnerN°Ref,4,FALSE)="Country not found",VLOOKUP(C39,PartnerN°Ref,3,FALSE)=0),"",VLOOKUP(C39,PartnerN°Ref,3,FALSE)),"")</f>
        <v>Israel</v>
      </c>
      <c r="F39" s="84" t="s">
        <v>389</v>
      </c>
      <c r="G39" s="85" t="s">
        <v>226</v>
      </c>
      <c r="H39" s="86">
        <v>2</v>
      </c>
      <c r="I39" s="84" t="s">
        <v>395</v>
      </c>
      <c r="J39" s="84" t="s">
        <v>158</v>
      </c>
      <c r="K39" s="86">
        <v>5</v>
      </c>
      <c r="L39" s="87">
        <f t="shared" ref="L39" si="29">IF(O39="Error",0,ROUND(ROUND(H39,0)*(VLOOKUP(J39,TravelCosts,2,FALSE)),2))</f>
        <v>1060</v>
      </c>
      <c r="M39" s="88">
        <f t="shared" ref="M39" si="30">IF(O39="Error",0,IF(AND(G39="Staff",K39&gt;0,K39&lt;15),(120*K39)*H39,IF(AND(G39="Staff",K39&gt;14,K39&lt;61),(1680+((K39-14)*70))*H39,IF(AND(G39="Staff",K39&gt;60,K39&lt;91),(4900+((K39-60)*50))*H39,IF(AND(G39="Student",K39&gt;0,K39&lt;15),(55*K39)*H39,IF(AND(G39="Student",K39&gt;14,K39&lt;91),(770+((K39-14)*40))*H39,0))))))</f>
        <v>1200</v>
      </c>
      <c r="N39" s="89">
        <f t="shared" si="6"/>
        <v>2260</v>
      </c>
      <c r="O39" s="79" t="str">
        <f t="shared" ref="O39" si="31">IF(OR(COUNTIF(WorkPackage,B39)=0,COUNTIF(PartnerN°,C39)=0,D39="",COUNTIF(CountryALL,E39)=0,F39="",COUNTIF(Category2,G39)=0,ISNUMBER(H39)=FALSE,I39="",COUNTIF(TravelBands,J39)=0,ISNUMBER(K39)=FALSE,OR(K39&lt;0,K39&gt;90),IF(ISNUMBER(H39)=TRUE,H39=INT(H39*1)/1=FALSE),IF(ISNUMBER(K39)=TRUE,K39=INT(K39*1)/1=FALSE)),"Error","")</f>
        <v/>
      </c>
    </row>
    <row r="40" spans="2:15" s="80" customFormat="1" x14ac:dyDescent="0.3">
      <c r="B40" s="39" t="s">
        <v>178</v>
      </c>
      <c r="C40" s="73" t="s">
        <v>10</v>
      </c>
      <c r="D40" s="137" t="str">
        <f t="shared" si="0"/>
        <v>The MOFET Institute</v>
      </c>
      <c r="E40" s="137" t="str">
        <f t="shared" si="1"/>
        <v>Israel</v>
      </c>
      <c r="F40" s="84" t="s">
        <v>389</v>
      </c>
      <c r="G40" s="85" t="s">
        <v>226</v>
      </c>
      <c r="H40" s="86">
        <v>6</v>
      </c>
      <c r="I40" s="84" t="s">
        <v>392</v>
      </c>
      <c r="J40" s="84" t="s">
        <v>158</v>
      </c>
      <c r="K40" s="86">
        <v>5</v>
      </c>
      <c r="L40" s="87">
        <f t="shared" si="2"/>
        <v>3180</v>
      </c>
      <c r="M40" s="88">
        <f t="shared" si="3"/>
        <v>3600</v>
      </c>
      <c r="N40" s="89">
        <f t="shared" si="6"/>
        <v>6780</v>
      </c>
      <c r="O40" s="79" t="str">
        <f t="shared" si="5"/>
        <v/>
      </c>
    </row>
    <row r="41" spans="2:15" s="80" customFormat="1" x14ac:dyDescent="0.3">
      <c r="B41" s="39" t="s">
        <v>178</v>
      </c>
      <c r="C41" s="73" t="s">
        <v>10</v>
      </c>
      <c r="D41" s="137" t="str">
        <f t="shared" si="0"/>
        <v>The MOFET Institute</v>
      </c>
      <c r="E41" s="137" t="str">
        <f t="shared" si="1"/>
        <v>Israel</v>
      </c>
      <c r="F41" s="84" t="s">
        <v>389</v>
      </c>
      <c r="G41" s="85" t="s">
        <v>226</v>
      </c>
      <c r="H41" s="86">
        <v>5</v>
      </c>
      <c r="I41" s="84" t="s">
        <v>465</v>
      </c>
      <c r="J41" s="84" t="s">
        <v>329</v>
      </c>
      <c r="K41" s="86">
        <v>5</v>
      </c>
      <c r="L41" s="87">
        <f t="shared" si="2"/>
        <v>0</v>
      </c>
      <c r="M41" s="88">
        <f t="shared" si="3"/>
        <v>3000</v>
      </c>
      <c r="N41" s="89">
        <f t="shared" si="6"/>
        <v>3000</v>
      </c>
      <c r="O41" s="79" t="str">
        <f t="shared" si="5"/>
        <v/>
      </c>
    </row>
    <row r="42" spans="2:15" s="80" customFormat="1" x14ac:dyDescent="0.3">
      <c r="B42" s="39" t="s">
        <v>178</v>
      </c>
      <c r="C42" s="73" t="s">
        <v>10</v>
      </c>
      <c r="D42" s="137" t="str">
        <f t="shared" si="0"/>
        <v>The MOFET Institute</v>
      </c>
      <c r="E42" s="137" t="str">
        <f t="shared" si="1"/>
        <v>Israel</v>
      </c>
      <c r="F42" s="84" t="s">
        <v>389</v>
      </c>
      <c r="G42" s="85" t="s">
        <v>228</v>
      </c>
      <c r="H42" s="86">
        <v>8</v>
      </c>
      <c r="I42" s="84" t="s">
        <v>465</v>
      </c>
      <c r="J42" s="84" t="s">
        <v>329</v>
      </c>
      <c r="K42" s="86">
        <v>4</v>
      </c>
      <c r="L42" s="87">
        <f t="shared" si="2"/>
        <v>0</v>
      </c>
      <c r="M42" s="88">
        <f t="shared" si="3"/>
        <v>1760</v>
      </c>
      <c r="N42" s="89">
        <f t="shared" si="6"/>
        <v>1760</v>
      </c>
      <c r="O42" s="79" t="str">
        <f t="shared" si="5"/>
        <v/>
      </c>
    </row>
    <row r="43" spans="2:15" s="80" customFormat="1" x14ac:dyDescent="0.3">
      <c r="B43" s="39" t="s">
        <v>372</v>
      </c>
      <c r="C43" s="73" t="s">
        <v>10</v>
      </c>
      <c r="D43" s="137" t="str">
        <f t="shared" si="0"/>
        <v>The MOFET Institute</v>
      </c>
      <c r="E43" s="137" t="str">
        <f t="shared" si="1"/>
        <v>Israel</v>
      </c>
      <c r="F43" s="84" t="s">
        <v>389</v>
      </c>
      <c r="G43" s="85" t="s">
        <v>226</v>
      </c>
      <c r="H43" s="86">
        <v>2</v>
      </c>
      <c r="I43" s="84" t="s">
        <v>393</v>
      </c>
      <c r="J43" s="84" t="s">
        <v>158</v>
      </c>
      <c r="K43" s="86">
        <v>5</v>
      </c>
      <c r="L43" s="87">
        <f t="shared" si="2"/>
        <v>1060</v>
      </c>
      <c r="M43" s="88">
        <f t="shared" si="3"/>
        <v>1200</v>
      </c>
      <c r="N43" s="89">
        <f t="shared" si="6"/>
        <v>2260</v>
      </c>
      <c r="O43" s="79" t="str">
        <f t="shared" si="5"/>
        <v/>
      </c>
    </row>
    <row r="44" spans="2:15" s="80" customFormat="1" x14ac:dyDescent="0.3">
      <c r="B44" s="39" t="s">
        <v>372</v>
      </c>
      <c r="C44" s="73" t="s">
        <v>10</v>
      </c>
      <c r="D44" s="137" t="str">
        <f t="shared" ref="D44" si="32">IFERROR(IF(VLOOKUP(C44,PartnerN°Ref,2,FALSE)=0,"",VLOOKUP(C44,PartnerN°Ref,2,FALSE)),"")</f>
        <v>The MOFET Institute</v>
      </c>
      <c r="E44" s="137" t="str">
        <f t="shared" ref="E44" si="33">IFERROR(IF(OR(VLOOKUP(C44,PartnerN°Ref,4,FALSE)="Country not found",VLOOKUP(C44,PartnerN°Ref,3,FALSE)=0),"",VLOOKUP(C44,PartnerN°Ref,3,FALSE)),"")</f>
        <v>Israel</v>
      </c>
      <c r="F44" s="84" t="s">
        <v>389</v>
      </c>
      <c r="G44" s="85" t="s">
        <v>226</v>
      </c>
      <c r="H44" s="86">
        <v>2</v>
      </c>
      <c r="I44" s="95" t="s">
        <v>396</v>
      </c>
      <c r="J44" s="84" t="s">
        <v>154</v>
      </c>
      <c r="K44" s="86">
        <v>5</v>
      </c>
      <c r="L44" s="87">
        <f t="shared" ref="L44" si="34">IF(O44="Error",0,ROUND(ROUND(H44,0)*(VLOOKUP(J44,TravelCosts,2,FALSE)),2))</f>
        <v>550</v>
      </c>
      <c r="M44" s="88">
        <f t="shared" ref="M44" si="35">IF(O44="Error",0,IF(AND(G44="Staff",K44&gt;0,K44&lt;15),(120*K44)*H44,IF(AND(G44="Staff",K44&gt;14,K44&lt;61),(1680+((K44-14)*70))*H44,IF(AND(G44="Staff",K44&gt;60,K44&lt;91),(4900+((K44-60)*50))*H44,IF(AND(G44="Student",K44&gt;0,K44&lt;15),(55*K44)*H44,IF(AND(G44="Student",K44&gt;14,K44&lt;91),(770+((K44-14)*40))*H44,0))))))</f>
        <v>1200</v>
      </c>
      <c r="N44" s="89">
        <f t="shared" si="6"/>
        <v>1750</v>
      </c>
      <c r="O44" s="79" t="str">
        <f t="shared" ref="O44" si="36">IF(OR(COUNTIF(WorkPackage,B44)=0,COUNTIF(PartnerN°,C44)=0,D44="",COUNTIF(CountryALL,E44)=0,F44="",COUNTIF(Category2,G44)=0,ISNUMBER(H44)=FALSE,I44="",COUNTIF(TravelBands,J44)=0,ISNUMBER(K44)=FALSE,OR(K44&lt;0,K44&gt;90),IF(ISNUMBER(H44)=TRUE,H44=INT(H44*1)/1=FALSE),IF(ISNUMBER(K44)=TRUE,K44=INT(K44*1)/1=FALSE)),"Error","")</f>
        <v/>
      </c>
    </row>
    <row r="45" spans="2:15" s="80" customFormat="1" x14ac:dyDescent="0.3">
      <c r="B45" s="39" t="s">
        <v>178</v>
      </c>
      <c r="C45" s="73" t="s">
        <v>10</v>
      </c>
      <c r="D45" s="137" t="str">
        <f t="shared" si="0"/>
        <v>The MOFET Institute</v>
      </c>
      <c r="E45" s="137" t="str">
        <f t="shared" si="1"/>
        <v>Israel</v>
      </c>
      <c r="F45" s="84" t="s">
        <v>389</v>
      </c>
      <c r="G45" s="85" t="s">
        <v>226</v>
      </c>
      <c r="H45" s="86">
        <v>6</v>
      </c>
      <c r="I45" s="84" t="s">
        <v>394</v>
      </c>
      <c r="J45" s="84" t="s">
        <v>154</v>
      </c>
      <c r="K45" s="86">
        <v>5</v>
      </c>
      <c r="L45" s="87">
        <f t="shared" si="2"/>
        <v>1650</v>
      </c>
      <c r="M45" s="88">
        <f t="shared" si="3"/>
        <v>3600</v>
      </c>
      <c r="N45" s="89">
        <f t="shared" si="6"/>
        <v>5250</v>
      </c>
      <c r="O45" s="79" t="str">
        <f t="shared" si="5"/>
        <v/>
      </c>
    </row>
    <row r="46" spans="2:15" s="80" customFormat="1" x14ac:dyDescent="0.3">
      <c r="B46" s="39" t="s">
        <v>178</v>
      </c>
      <c r="C46" s="73" t="s">
        <v>10</v>
      </c>
      <c r="D46" s="137" t="str">
        <f t="shared" si="0"/>
        <v>The MOFET Institute</v>
      </c>
      <c r="E46" s="137" t="str">
        <f t="shared" si="1"/>
        <v>Israel</v>
      </c>
      <c r="F46" s="84" t="s">
        <v>389</v>
      </c>
      <c r="G46" s="85" t="s">
        <v>226</v>
      </c>
      <c r="H46" s="86">
        <v>5</v>
      </c>
      <c r="I46" s="84" t="s">
        <v>465</v>
      </c>
      <c r="J46" s="84" t="s">
        <v>329</v>
      </c>
      <c r="K46" s="86">
        <v>5</v>
      </c>
      <c r="L46" s="87">
        <f t="shared" si="2"/>
        <v>0</v>
      </c>
      <c r="M46" s="88">
        <f t="shared" si="3"/>
        <v>3000</v>
      </c>
      <c r="N46" s="89">
        <f t="shared" si="6"/>
        <v>3000</v>
      </c>
      <c r="O46" s="79" t="str">
        <f t="shared" si="5"/>
        <v/>
      </c>
    </row>
    <row r="47" spans="2:15" s="80" customFormat="1" x14ac:dyDescent="0.3">
      <c r="B47" s="39" t="s">
        <v>178</v>
      </c>
      <c r="C47" s="73" t="s">
        <v>10</v>
      </c>
      <c r="D47" s="137" t="str">
        <f t="shared" si="0"/>
        <v>The MOFET Institute</v>
      </c>
      <c r="E47" s="137" t="str">
        <f t="shared" si="1"/>
        <v>Israel</v>
      </c>
      <c r="F47" s="84" t="s">
        <v>389</v>
      </c>
      <c r="G47" s="85" t="s">
        <v>228</v>
      </c>
      <c r="H47" s="86">
        <v>8</v>
      </c>
      <c r="I47" s="84" t="s">
        <v>465</v>
      </c>
      <c r="J47" s="84" t="s">
        <v>329</v>
      </c>
      <c r="K47" s="86">
        <v>4</v>
      </c>
      <c r="L47" s="87">
        <f t="shared" si="2"/>
        <v>0</v>
      </c>
      <c r="M47" s="88">
        <f t="shared" si="3"/>
        <v>1760</v>
      </c>
      <c r="N47" s="89">
        <f t="shared" si="6"/>
        <v>1760</v>
      </c>
      <c r="O47" s="79" t="str">
        <f t="shared" si="5"/>
        <v/>
      </c>
    </row>
    <row r="48" spans="2:15" s="80" customFormat="1" x14ac:dyDescent="0.3">
      <c r="B48" s="39" t="s">
        <v>372</v>
      </c>
      <c r="C48" s="73" t="s">
        <v>10</v>
      </c>
      <c r="D48" s="137" t="str">
        <f t="shared" si="0"/>
        <v>The MOFET Institute</v>
      </c>
      <c r="E48" s="137" t="str">
        <f t="shared" si="1"/>
        <v>Israel</v>
      </c>
      <c r="F48" s="84" t="s">
        <v>389</v>
      </c>
      <c r="G48" s="85" t="s">
        <v>226</v>
      </c>
      <c r="H48" s="86">
        <v>2</v>
      </c>
      <c r="I48" s="84" t="s">
        <v>395</v>
      </c>
      <c r="J48" s="84" t="s">
        <v>158</v>
      </c>
      <c r="K48" s="86">
        <v>5</v>
      </c>
      <c r="L48" s="87">
        <f t="shared" si="2"/>
        <v>1060</v>
      </c>
      <c r="M48" s="88">
        <f t="shared" si="3"/>
        <v>1200</v>
      </c>
      <c r="N48" s="89">
        <f t="shared" si="6"/>
        <v>2260</v>
      </c>
      <c r="O48" s="79" t="str">
        <f t="shared" si="5"/>
        <v/>
      </c>
    </row>
    <row r="49" spans="2:15" s="80" customFormat="1" x14ac:dyDescent="0.3">
      <c r="B49" s="39" t="s">
        <v>372</v>
      </c>
      <c r="C49" s="73" t="s">
        <v>10</v>
      </c>
      <c r="D49" s="137" t="str">
        <f t="shared" ref="D49" si="37">IFERROR(IF(VLOOKUP(C49,PartnerN°Ref,2,FALSE)=0,"",VLOOKUP(C49,PartnerN°Ref,2,FALSE)),"")</f>
        <v>The MOFET Institute</v>
      </c>
      <c r="E49" s="137" t="str">
        <f t="shared" ref="E49" si="38">IFERROR(IF(OR(VLOOKUP(C49,PartnerN°Ref,4,FALSE)="Country not found",VLOOKUP(C49,PartnerN°Ref,3,FALSE)=0),"",VLOOKUP(C49,PartnerN°Ref,3,FALSE)),"")</f>
        <v>Israel</v>
      </c>
      <c r="F49" s="84" t="s">
        <v>389</v>
      </c>
      <c r="G49" s="85" t="s">
        <v>226</v>
      </c>
      <c r="H49" s="86">
        <v>2</v>
      </c>
      <c r="I49" s="84" t="s">
        <v>391</v>
      </c>
      <c r="J49" s="84" t="s">
        <v>155</v>
      </c>
      <c r="K49" s="86">
        <v>5</v>
      </c>
      <c r="L49" s="87">
        <f t="shared" ref="L49" si="39">IF(O49="Error",0,ROUND(ROUND(H49,0)*(VLOOKUP(J49,TravelCosts,2,FALSE)),2))</f>
        <v>720</v>
      </c>
      <c r="M49" s="88">
        <f t="shared" ref="M49" si="40">IF(O49="Error",0,IF(AND(G49="Staff",K49&gt;0,K49&lt;15),(120*K49)*H49,IF(AND(G49="Staff",K49&gt;14,K49&lt;61),(1680+((K49-14)*70))*H49,IF(AND(G49="Staff",K49&gt;60,K49&lt;91),(4900+((K49-60)*50))*H49,IF(AND(G49="Student",K49&gt;0,K49&lt;15),(55*K49)*H49,IF(AND(G49="Student",K49&gt;14,K49&lt;91),(770+((K49-14)*40))*H49,0))))))</f>
        <v>1200</v>
      </c>
      <c r="N49" s="89">
        <f t="shared" si="6"/>
        <v>1920</v>
      </c>
      <c r="O49" s="79" t="str">
        <f t="shared" ref="O49" si="41">IF(OR(COUNTIF(WorkPackage,B49)=0,COUNTIF(PartnerN°,C49)=0,D49="",COUNTIF(CountryALL,E49)=0,F49="",COUNTIF(Category2,G49)=0,ISNUMBER(H49)=FALSE,I49="",COUNTIF(TravelBands,J49)=0,ISNUMBER(K49)=FALSE,OR(K49&lt;0,K49&gt;90),IF(ISNUMBER(H49)=TRUE,H49=INT(H49*1)/1=FALSE),IF(ISNUMBER(K49)=TRUE,K49=INT(K49*1)/1=FALSE)),"Error","")</f>
        <v/>
      </c>
    </row>
    <row r="50" spans="2:15" s="80" customFormat="1" x14ac:dyDescent="0.3">
      <c r="B50" s="39" t="s">
        <v>179</v>
      </c>
      <c r="C50" s="73" t="s">
        <v>10</v>
      </c>
      <c r="D50" s="137" t="str">
        <f t="shared" ref="D50:D53" si="42">IFERROR(IF(VLOOKUP(C50,PartnerN°Ref,2,FALSE)=0,"",VLOOKUP(C50,PartnerN°Ref,2,FALSE)),"")</f>
        <v>The MOFET Institute</v>
      </c>
      <c r="E50" s="137" t="str">
        <f t="shared" ref="E50:E53" si="43">IFERROR(IF(OR(VLOOKUP(C50,PartnerN°Ref,4,FALSE)="Country not found",VLOOKUP(C50,PartnerN°Ref,3,FALSE)=0),"",VLOOKUP(C50,PartnerN°Ref,3,FALSE)),"")</f>
        <v>Israel</v>
      </c>
      <c r="F50" s="84" t="s">
        <v>389</v>
      </c>
      <c r="G50" s="85" t="s">
        <v>226</v>
      </c>
      <c r="H50" s="86">
        <v>60</v>
      </c>
      <c r="I50" s="95" t="s">
        <v>470</v>
      </c>
      <c r="J50" s="84" t="s">
        <v>329</v>
      </c>
      <c r="K50" s="86">
        <v>1</v>
      </c>
      <c r="L50" s="87">
        <f t="shared" ref="L50:L53" si="44">IF(O50="Error",0,ROUND(ROUND(H50,0)*(VLOOKUP(J50,TravelCosts,2,FALSE)),2))</f>
        <v>0</v>
      </c>
      <c r="M50" s="88">
        <f t="shared" ref="M50:M53" si="45">IF(O50="Error",0,IF(AND(G50="Staff",K50&gt;0,K50&lt;15),(120*K50)*H50,IF(AND(G50="Staff",K50&gt;14,K50&lt;61),(1680+((K50-14)*70))*H50,IF(AND(G50="Staff",K50&gt;60,K50&lt;91),(4900+((K50-60)*50))*H50,IF(AND(G50="Student",K50&gt;0,K50&lt;15),(55*K50)*H50,IF(AND(G50="Student",K50&gt;14,K50&lt;91),(770+((K50-14)*40))*H50,0))))))</f>
        <v>7200</v>
      </c>
      <c r="N50" s="89">
        <f t="shared" si="6"/>
        <v>7200</v>
      </c>
      <c r="O50" s="79" t="str">
        <f t="shared" ref="O50:O53" si="46">IF(OR(COUNTIF(WorkPackage,B50)=0,COUNTIF(PartnerN°,C50)=0,D50="",COUNTIF(CountryALL,E50)=0,F50="",COUNTIF(Category2,G50)=0,ISNUMBER(H50)=FALSE,I50="",COUNTIF(TravelBands,J50)=0,ISNUMBER(K50)=FALSE,OR(K50&lt;0,K50&gt;90),IF(ISNUMBER(H50)=TRUE,H50=INT(H50*1)/1=FALSE),IF(ISNUMBER(K50)=TRUE,K50=INT(K50*1)/1=FALSE)),"Error","")</f>
        <v/>
      </c>
    </row>
    <row r="51" spans="2:15" s="80" customFormat="1" x14ac:dyDescent="0.3">
      <c r="B51" s="39" t="s">
        <v>372</v>
      </c>
      <c r="C51" s="73" t="s">
        <v>10</v>
      </c>
      <c r="D51" s="137" t="str">
        <f t="shared" si="42"/>
        <v>The MOFET Institute</v>
      </c>
      <c r="E51" s="137" t="str">
        <f t="shared" si="43"/>
        <v>Israel</v>
      </c>
      <c r="F51" s="84" t="s">
        <v>389</v>
      </c>
      <c r="G51" s="85" t="s">
        <v>226</v>
      </c>
      <c r="H51" s="86">
        <v>30</v>
      </c>
      <c r="I51" s="95" t="s">
        <v>470</v>
      </c>
      <c r="J51" s="84" t="s">
        <v>329</v>
      </c>
      <c r="K51" s="86">
        <v>1</v>
      </c>
      <c r="L51" s="87">
        <f t="shared" si="44"/>
        <v>0</v>
      </c>
      <c r="M51" s="88">
        <f t="shared" si="45"/>
        <v>3600</v>
      </c>
      <c r="N51" s="89">
        <f t="shared" si="6"/>
        <v>3600</v>
      </c>
      <c r="O51" s="79" t="str">
        <f t="shared" si="46"/>
        <v/>
      </c>
    </row>
    <row r="52" spans="2:15" s="80" customFormat="1" x14ac:dyDescent="0.3">
      <c r="B52" s="39" t="s">
        <v>178</v>
      </c>
      <c r="C52" s="73" t="s">
        <v>10</v>
      </c>
      <c r="D52" s="137" t="str">
        <f t="shared" si="42"/>
        <v>The MOFET Institute</v>
      </c>
      <c r="E52" s="137" t="str">
        <f t="shared" si="43"/>
        <v>Israel</v>
      </c>
      <c r="F52" s="84" t="s">
        <v>389</v>
      </c>
      <c r="G52" s="85" t="s">
        <v>226</v>
      </c>
      <c r="H52" s="86">
        <v>6</v>
      </c>
      <c r="I52" s="84" t="s">
        <v>401</v>
      </c>
      <c r="J52" s="84" t="s">
        <v>155</v>
      </c>
      <c r="K52" s="86">
        <v>5</v>
      </c>
      <c r="L52" s="87">
        <f t="shared" si="44"/>
        <v>2160</v>
      </c>
      <c r="M52" s="88">
        <f t="shared" si="45"/>
        <v>3600</v>
      </c>
      <c r="N52" s="89">
        <f t="shared" si="6"/>
        <v>5760</v>
      </c>
      <c r="O52" s="79" t="str">
        <f t="shared" si="46"/>
        <v/>
      </c>
    </row>
    <row r="53" spans="2:15" s="80" customFormat="1" x14ac:dyDescent="0.3">
      <c r="B53" s="39" t="s">
        <v>178</v>
      </c>
      <c r="C53" s="73" t="s">
        <v>10</v>
      </c>
      <c r="D53" s="137" t="str">
        <f t="shared" si="42"/>
        <v>The MOFET Institute</v>
      </c>
      <c r="E53" s="137" t="str">
        <f t="shared" si="43"/>
        <v>Israel</v>
      </c>
      <c r="F53" s="84" t="s">
        <v>389</v>
      </c>
      <c r="G53" s="85" t="s">
        <v>228</v>
      </c>
      <c r="H53" s="86">
        <v>3</v>
      </c>
      <c r="I53" s="84" t="s">
        <v>401</v>
      </c>
      <c r="J53" s="84" t="s">
        <v>155</v>
      </c>
      <c r="K53" s="86">
        <v>14</v>
      </c>
      <c r="L53" s="87">
        <f t="shared" si="44"/>
        <v>1080</v>
      </c>
      <c r="M53" s="88">
        <f t="shared" si="45"/>
        <v>2310</v>
      </c>
      <c r="N53" s="89">
        <f t="shared" si="6"/>
        <v>3390</v>
      </c>
      <c r="O53" s="79" t="str">
        <f t="shared" si="46"/>
        <v/>
      </c>
    </row>
    <row r="54" spans="2:15" s="80" customFormat="1" x14ac:dyDescent="0.3">
      <c r="B54" s="39" t="s">
        <v>178</v>
      </c>
      <c r="C54" s="73" t="s">
        <v>11</v>
      </c>
      <c r="D54" s="137" t="str">
        <f t="shared" si="0"/>
        <v>Beit Berl College</v>
      </c>
      <c r="E54" s="137" t="str">
        <f t="shared" si="1"/>
        <v>Israel</v>
      </c>
      <c r="F54" s="84" t="s">
        <v>397</v>
      </c>
      <c r="G54" s="85" t="s">
        <v>226</v>
      </c>
      <c r="H54" s="86">
        <v>6</v>
      </c>
      <c r="I54" s="84" t="s">
        <v>390</v>
      </c>
      <c r="J54" s="84" t="s">
        <v>158</v>
      </c>
      <c r="K54" s="86">
        <v>5</v>
      </c>
      <c r="L54" s="87">
        <f t="shared" si="2"/>
        <v>3180</v>
      </c>
      <c r="M54" s="88">
        <f t="shared" si="3"/>
        <v>3600</v>
      </c>
      <c r="N54" s="89">
        <f t="shared" si="6"/>
        <v>6780</v>
      </c>
      <c r="O54" s="79" t="str">
        <f t="shared" si="5"/>
        <v/>
      </c>
    </row>
    <row r="55" spans="2:15" s="80" customFormat="1" x14ac:dyDescent="0.3">
      <c r="B55" s="39" t="s">
        <v>178</v>
      </c>
      <c r="C55" s="73" t="s">
        <v>11</v>
      </c>
      <c r="D55" s="137" t="str">
        <f t="shared" ref="D55:D96" si="47">IFERROR(IF(VLOOKUP(C55,PartnerN°Ref,2,FALSE)=0,"",VLOOKUP(C55,PartnerN°Ref,2,FALSE)),"")</f>
        <v>Beit Berl College</v>
      </c>
      <c r="E55" s="137" t="str">
        <f t="shared" ref="E55:E96" si="48">IFERROR(IF(OR(VLOOKUP(C55,PartnerN°Ref,4,FALSE)="Country not found",VLOOKUP(C55,PartnerN°Ref,3,FALSE)=0),"",VLOOKUP(C55,PartnerN°Ref,3,FALSE)),"")</f>
        <v>Israel</v>
      </c>
      <c r="F55" s="84" t="s">
        <v>397</v>
      </c>
      <c r="G55" s="85" t="s">
        <v>226</v>
      </c>
      <c r="H55" s="86">
        <v>5</v>
      </c>
      <c r="I55" s="84" t="s">
        <v>465</v>
      </c>
      <c r="J55" s="84" t="s">
        <v>329</v>
      </c>
      <c r="K55" s="86">
        <v>5</v>
      </c>
      <c r="L55" s="87">
        <f t="shared" ref="L55:L96" si="49">IF(O55="Error",0,ROUND(ROUND(H55,0)*(VLOOKUP(J55,TravelCosts,2,FALSE)),2))</f>
        <v>0</v>
      </c>
      <c r="M55" s="88">
        <f t="shared" ref="M55:M96" si="50">IF(O55="Error",0,IF(AND(G55="Staff",K55&gt;0,K55&lt;15),(120*K55)*H55,IF(AND(G55="Staff",K55&gt;14,K55&lt;61),(1680+((K55-14)*70))*H55,IF(AND(G55="Staff",K55&gt;60,K55&lt;91),(4900+((K55-60)*50))*H55,IF(AND(G55="Student",K55&gt;0,K55&lt;15),(55*K55)*H55,IF(AND(G55="Student",K55&gt;14,K55&lt;91),(770+((K55-14)*40))*H55,0))))))</f>
        <v>3000</v>
      </c>
      <c r="N55" s="89">
        <f t="shared" si="6"/>
        <v>3000</v>
      </c>
      <c r="O55" s="79" t="str">
        <f t="shared" ref="O55:O96" si="51">IF(OR(COUNTIF(WorkPackage,B55)=0,COUNTIF(PartnerN°,C55)=0,D55="",COUNTIF(CountryALL,E55)=0,F55="",COUNTIF(Category2,G55)=0,ISNUMBER(H55)=FALSE,I55="",COUNTIF(TravelBands,J55)=0,ISNUMBER(K55)=FALSE,OR(K55&lt;0,K55&gt;90),IF(ISNUMBER(H55)=TRUE,H55=INT(H55*1)/1=FALSE),IF(ISNUMBER(K55)=TRUE,K55=INT(K55*1)/1=FALSE)),"Error","")</f>
        <v/>
      </c>
    </row>
    <row r="56" spans="2:15" s="80" customFormat="1" x14ac:dyDescent="0.3">
      <c r="B56" s="39" t="s">
        <v>178</v>
      </c>
      <c r="C56" s="73" t="s">
        <v>11</v>
      </c>
      <c r="D56" s="137" t="str">
        <f t="shared" si="47"/>
        <v>Beit Berl College</v>
      </c>
      <c r="E56" s="137" t="str">
        <f t="shared" si="48"/>
        <v>Israel</v>
      </c>
      <c r="F56" s="84" t="s">
        <v>397</v>
      </c>
      <c r="G56" s="85" t="s">
        <v>228</v>
      </c>
      <c r="H56" s="86">
        <v>8</v>
      </c>
      <c r="I56" s="84" t="s">
        <v>465</v>
      </c>
      <c r="J56" s="84" t="s">
        <v>329</v>
      </c>
      <c r="K56" s="86">
        <v>4</v>
      </c>
      <c r="L56" s="87">
        <f t="shared" si="49"/>
        <v>0</v>
      </c>
      <c r="M56" s="88">
        <f t="shared" si="50"/>
        <v>1760</v>
      </c>
      <c r="N56" s="89">
        <f t="shared" si="6"/>
        <v>1760</v>
      </c>
      <c r="O56" s="79" t="str">
        <f t="shared" si="51"/>
        <v/>
      </c>
    </row>
    <row r="57" spans="2:15" s="80" customFormat="1" x14ac:dyDescent="0.3">
      <c r="B57" s="39" t="s">
        <v>372</v>
      </c>
      <c r="C57" s="73" t="s">
        <v>11</v>
      </c>
      <c r="D57" s="137" t="str">
        <f t="shared" si="47"/>
        <v>Beit Berl College</v>
      </c>
      <c r="E57" s="137" t="str">
        <f t="shared" si="48"/>
        <v>Israel</v>
      </c>
      <c r="F57" s="84" t="s">
        <v>397</v>
      </c>
      <c r="G57" s="85" t="s">
        <v>226</v>
      </c>
      <c r="H57" s="86">
        <v>3</v>
      </c>
      <c r="I57" s="84" t="s">
        <v>395</v>
      </c>
      <c r="J57" s="84" t="s">
        <v>158</v>
      </c>
      <c r="K57" s="86">
        <v>4</v>
      </c>
      <c r="L57" s="87">
        <f t="shared" si="49"/>
        <v>1590</v>
      </c>
      <c r="M57" s="88">
        <f t="shared" si="50"/>
        <v>1440</v>
      </c>
      <c r="N57" s="89">
        <f t="shared" si="6"/>
        <v>3030</v>
      </c>
      <c r="O57" s="79" t="str">
        <f t="shared" si="51"/>
        <v/>
      </c>
    </row>
    <row r="58" spans="2:15" s="80" customFormat="1" x14ac:dyDescent="0.3">
      <c r="B58" s="39" t="s">
        <v>372</v>
      </c>
      <c r="C58" s="73" t="s">
        <v>11</v>
      </c>
      <c r="D58" s="137" t="str">
        <f t="shared" si="47"/>
        <v>Beit Berl College</v>
      </c>
      <c r="E58" s="137" t="str">
        <f t="shared" si="48"/>
        <v>Israel</v>
      </c>
      <c r="F58" s="84" t="s">
        <v>397</v>
      </c>
      <c r="G58" s="85" t="s">
        <v>226</v>
      </c>
      <c r="H58" s="86">
        <v>3</v>
      </c>
      <c r="I58" s="84" t="s">
        <v>391</v>
      </c>
      <c r="J58" s="84" t="s">
        <v>155</v>
      </c>
      <c r="K58" s="86">
        <v>5</v>
      </c>
      <c r="L58" s="87">
        <f t="shared" si="49"/>
        <v>1080</v>
      </c>
      <c r="M58" s="88">
        <f t="shared" si="50"/>
        <v>1800</v>
      </c>
      <c r="N58" s="89">
        <f t="shared" si="6"/>
        <v>2880</v>
      </c>
      <c r="O58" s="79" t="str">
        <f t="shared" si="51"/>
        <v/>
      </c>
    </row>
    <row r="59" spans="2:15" s="80" customFormat="1" x14ac:dyDescent="0.3">
      <c r="B59" s="39" t="s">
        <v>178</v>
      </c>
      <c r="C59" s="73" t="s">
        <v>11</v>
      </c>
      <c r="D59" s="137" t="str">
        <f t="shared" si="47"/>
        <v>Beit Berl College</v>
      </c>
      <c r="E59" s="137" t="str">
        <f t="shared" si="48"/>
        <v>Israel</v>
      </c>
      <c r="F59" s="84" t="s">
        <v>397</v>
      </c>
      <c r="G59" s="85" t="s">
        <v>226</v>
      </c>
      <c r="H59" s="86">
        <v>6</v>
      </c>
      <c r="I59" s="84" t="s">
        <v>392</v>
      </c>
      <c r="J59" s="84" t="s">
        <v>158</v>
      </c>
      <c r="K59" s="86">
        <v>5</v>
      </c>
      <c r="L59" s="87">
        <f t="shared" si="49"/>
        <v>3180</v>
      </c>
      <c r="M59" s="88">
        <f t="shared" si="50"/>
        <v>3600</v>
      </c>
      <c r="N59" s="89">
        <f t="shared" si="6"/>
        <v>6780</v>
      </c>
      <c r="O59" s="79" t="str">
        <f t="shared" si="51"/>
        <v/>
      </c>
    </row>
    <row r="60" spans="2:15" s="80" customFormat="1" x14ac:dyDescent="0.3">
      <c r="B60" s="39" t="s">
        <v>178</v>
      </c>
      <c r="C60" s="73" t="s">
        <v>11</v>
      </c>
      <c r="D60" s="137" t="str">
        <f t="shared" si="47"/>
        <v>Beit Berl College</v>
      </c>
      <c r="E60" s="137" t="str">
        <f t="shared" si="48"/>
        <v>Israel</v>
      </c>
      <c r="F60" s="84" t="s">
        <v>397</v>
      </c>
      <c r="G60" s="85" t="s">
        <v>226</v>
      </c>
      <c r="H60" s="86">
        <v>5</v>
      </c>
      <c r="I60" s="84" t="s">
        <v>465</v>
      </c>
      <c r="J60" s="84" t="s">
        <v>329</v>
      </c>
      <c r="K60" s="86">
        <v>5</v>
      </c>
      <c r="L60" s="87">
        <f t="shared" si="49"/>
        <v>0</v>
      </c>
      <c r="M60" s="88">
        <f t="shared" si="50"/>
        <v>3000</v>
      </c>
      <c r="N60" s="89">
        <f t="shared" si="6"/>
        <v>3000</v>
      </c>
      <c r="O60" s="79" t="str">
        <f t="shared" si="51"/>
        <v/>
      </c>
    </row>
    <row r="61" spans="2:15" s="80" customFormat="1" x14ac:dyDescent="0.3">
      <c r="B61" s="39" t="s">
        <v>178</v>
      </c>
      <c r="C61" s="73" t="s">
        <v>11</v>
      </c>
      <c r="D61" s="137" t="str">
        <f t="shared" si="47"/>
        <v>Beit Berl College</v>
      </c>
      <c r="E61" s="137" t="str">
        <f t="shared" si="48"/>
        <v>Israel</v>
      </c>
      <c r="F61" s="84" t="s">
        <v>397</v>
      </c>
      <c r="G61" s="85" t="s">
        <v>228</v>
      </c>
      <c r="H61" s="86">
        <v>8</v>
      </c>
      <c r="I61" s="84" t="s">
        <v>465</v>
      </c>
      <c r="J61" s="84" t="s">
        <v>329</v>
      </c>
      <c r="K61" s="86">
        <v>4</v>
      </c>
      <c r="L61" s="87">
        <f t="shared" si="49"/>
        <v>0</v>
      </c>
      <c r="M61" s="88">
        <f t="shared" si="50"/>
        <v>1760</v>
      </c>
      <c r="N61" s="89">
        <f t="shared" si="6"/>
        <v>1760</v>
      </c>
      <c r="O61" s="79" t="str">
        <f t="shared" si="51"/>
        <v/>
      </c>
    </row>
    <row r="62" spans="2:15" s="80" customFormat="1" x14ac:dyDescent="0.3">
      <c r="B62" s="39" t="s">
        <v>372</v>
      </c>
      <c r="C62" s="73" t="s">
        <v>11</v>
      </c>
      <c r="D62" s="137" t="str">
        <f t="shared" si="47"/>
        <v>Beit Berl College</v>
      </c>
      <c r="E62" s="137" t="str">
        <f t="shared" si="48"/>
        <v>Israel</v>
      </c>
      <c r="F62" s="84" t="s">
        <v>397</v>
      </c>
      <c r="G62" s="85" t="s">
        <v>226</v>
      </c>
      <c r="H62" s="86">
        <v>3</v>
      </c>
      <c r="I62" s="84" t="s">
        <v>396</v>
      </c>
      <c r="J62" s="84" t="s">
        <v>154</v>
      </c>
      <c r="K62" s="86">
        <v>5</v>
      </c>
      <c r="L62" s="87">
        <f t="shared" si="49"/>
        <v>825</v>
      </c>
      <c r="M62" s="88">
        <f t="shared" si="50"/>
        <v>1800</v>
      </c>
      <c r="N62" s="89">
        <f t="shared" si="6"/>
        <v>2625</v>
      </c>
      <c r="O62" s="79" t="str">
        <f t="shared" si="51"/>
        <v/>
      </c>
    </row>
    <row r="63" spans="2:15" s="80" customFormat="1" x14ac:dyDescent="0.3">
      <c r="B63" s="39" t="s">
        <v>372</v>
      </c>
      <c r="C63" s="73" t="s">
        <v>11</v>
      </c>
      <c r="D63" s="137" t="str">
        <f t="shared" si="47"/>
        <v>Beit Berl College</v>
      </c>
      <c r="E63" s="137" t="str">
        <f t="shared" si="48"/>
        <v>Israel</v>
      </c>
      <c r="F63" s="84" t="s">
        <v>397</v>
      </c>
      <c r="G63" s="85" t="s">
        <v>226</v>
      </c>
      <c r="H63" s="86">
        <v>3</v>
      </c>
      <c r="I63" s="95" t="s">
        <v>393</v>
      </c>
      <c r="J63" s="84" t="s">
        <v>158</v>
      </c>
      <c r="K63" s="86">
        <v>5</v>
      </c>
      <c r="L63" s="87">
        <f t="shared" si="49"/>
        <v>1590</v>
      </c>
      <c r="M63" s="88">
        <f t="shared" si="50"/>
        <v>1800</v>
      </c>
      <c r="N63" s="89">
        <f t="shared" si="6"/>
        <v>3390</v>
      </c>
      <c r="O63" s="79" t="str">
        <f t="shared" si="51"/>
        <v/>
      </c>
    </row>
    <row r="64" spans="2:15" s="80" customFormat="1" x14ac:dyDescent="0.3">
      <c r="B64" s="39" t="s">
        <v>178</v>
      </c>
      <c r="C64" s="73" t="s">
        <v>11</v>
      </c>
      <c r="D64" s="137" t="str">
        <f t="shared" si="47"/>
        <v>Beit Berl College</v>
      </c>
      <c r="E64" s="137" t="str">
        <f t="shared" si="48"/>
        <v>Israel</v>
      </c>
      <c r="F64" s="84" t="s">
        <v>397</v>
      </c>
      <c r="G64" s="85" t="s">
        <v>226</v>
      </c>
      <c r="H64" s="86">
        <v>6</v>
      </c>
      <c r="I64" s="84" t="s">
        <v>394</v>
      </c>
      <c r="J64" s="84" t="s">
        <v>154</v>
      </c>
      <c r="K64" s="86">
        <v>5</v>
      </c>
      <c r="L64" s="87">
        <f t="shared" si="49"/>
        <v>1650</v>
      </c>
      <c r="M64" s="88">
        <f t="shared" si="50"/>
        <v>3600</v>
      </c>
      <c r="N64" s="89">
        <f t="shared" si="6"/>
        <v>5250</v>
      </c>
      <c r="O64" s="79" t="str">
        <f t="shared" si="51"/>
        <v/>
      </c>
    </row>
    <row r="65" spans="2:15" s="80" customFormat="1" x14ac:dyDescent="0.3">
      <c r="B65" s="39" t="s">
        <v>178</v>
      </c>
      <c r="C65" s="73" t="s">
        <v>11</v>
      </c>
      <c r="D65" s="137" t="str">
        <f t="shared" si="47"/>
        <v>Beit Berl College</v>
      </c>
      <c r="E65" s="137" t="str">
        <f t="shared" si="48"/>
        <v>Israel</v>
      </c>
      <c r="F65" s="84" t="s">
        <v>397</v>
      </c>
      <c r="G65" s="85" t="s">
        <v>226</v>
      </c>
      <c r="H65" s="86">
        <v>5</v>
      </c>
      <c r="I65" s="84" t="s">
        <v>465</v>
      </c>
      <c r="J65" s="84" t="s">
        <v>153</v>
      </c>
      <c r="K65" s="86">
        <v>5</v>
      </c>
      <c r="L65" s="87">
        <f t="shared" si="49"/>
        <v>900</v>
      </c>
      <c r="M65" s="88">
        <f t="shared" si="50"/>
        <v>3000</v>
      </c>
      <c r="N65" s="89">
        <f t="shared" si="6"/>
        <v>3900</v>
      </c>
      <c r="O65" s="79" t="str">
        <f t="shared" si="51"/>
        <v/>
      </c>
    </row>
    <row r="66" spans="2:15" s="80" customFormat="1" x14ac:dyDescent="0.3">
      <c r="B66" s="39" t="s">
        <v>178</v>
      </c>
      <c r="C66" s="73" t="s">
        <v>11</v>
      </c>
      <c r="D66" s="137" t="str">
        <f t="shared" si="47"/>
        <v>Beit Berl College</v>
      </c>
      <c r="E66" s="137" t="str">
        <f t="shared" si="48"/>
        <v>Israel</v>
      </c>
      <c r="F66" s="84" t="s">
        <v>397</v>
      </c>
      <c r="G66" s="85" t="s">
        <v>228</v>
      </c>
      <c r="H66" s="86">
        <v>8</v>
      </c>
      <c r="I66" s="84" t="s">
        <v>465</v>
      </c>
      <c r="J66" s="84" t="s">
        <v>153</v>
      </c>
      <c r="K66" s="86">
        <v>4</v>
      </c>
      <c r="L66" s="87">
        <f t="shared" si="49"/>
        <v>1440</v>
      </c>
      <c r="M66" s="88">
        <f t="shared" si="50"/>
        <v>1760</v>
      </c>
      <c r="N66" s="89">
        <f t="shared" si="6"/>
        <v>3200</v>
      </c>
      <c r="O66" s="79" t="str">
        <f t="shared" si="51"/>
        <v/>
      </c>
    </row>
    <row r="67" spans="2:15" s="80" customFormat="1" x14ac:dyDescent="0.3">
      <c r="B67" s="39" t="s">
        <v>372</v>
      </c>
      <c r="C67" s="73" t="s">
        <v>11</v>
      </c>
      <c r="D67" s="137" t="str">
        <f t="shared" si="47"/>
        <v>Beit Berl College</v>
      </c>
      <c r="E67" s="137" t="str">
        <f t="shared" si="48"/>
        <v>Israel</v>
      </c>
      <c r="F67" s="84" t="s">
        <v>397</v>
      </c>
      <c r="G67" s="85" t="s">
        <v>226</v>
      </c>
      <c r="H67" s="86">
        <v>3</v>
      </c>
      <c r="I67" s="84" t="s">
        <v>391</v>
      </c>
      <c r="J67" s="84" t="s">
        <v>155</v>
      </c>
      <c r="K67" s="86">
        <v>5</v>
      </c>
      <c r="L67" s="87">
        <f t="shared" si="49"/>
        <v>1080</v>
      </c>
      <c r="M67" s="88">
        <f t="shared" si="50"/>
        <v>1800</v>
      </c>
      <c r="N67" s="89">
        <f t="shared" si="6"/>
        <v>2880</v>
      </c>
      <c r="O67" s="79" t="str">
        <f t="shared" si="51"/>
        <v/>
      </c>
    </row>
    <row r="68" spans="2:15" s="80" customFormat="1" x14ac:dyDescent="0.3">
      <c r="B68" s="39" t="s">
        <v>372</v>
      </c>
      <c r="C68" s="73" t="s">
        <v>11</v>
      </c>
      <c r="D68" s="137" t="str">
        <f t="shared" si="47"/>
        <v>Beit Berl College</v>
      </c>
      <c r="E68" s="137" t="str">
        <f t="shared" si="48"/>
        <v>Israel</v>
      </c>
      <c r="F68" s="84" t="s">
        <v>397</v>
      </c>
      <c r="G68" s="85" t="s">
        <v>226</v>
      </c>
      <c r="H68" s="86">
        <v>3</v>
      </c>
      <c r="I68" s="84" t="s">
        <v>395</v>
      </c>
      <c r="J68" s="84" t="s">
        <v>158</v>
      </c>
      <c r="K68" s="86">
        <v>5</v>
      </c>
      <c r="L68" s="87">
        <f t="shared" si="49"/>
        <v>1590</v>
      </c>
      <c r="M68" s="88">
        <f t="shared" si="50"/>
        <v>1800</v>
      </c>
      <c r="N68" s="89">
        <f t="shared" si="6"/>
        <v>3390</v>
      </c>
      <c r="O68" s="79" t="str">
        <f t="shared" si="51"/>
        <v/>
      </c>
    </row>
    <row r="69" spans="2:15" s="80" customFormat="1" x14ac:dyDescent="0.3">
      <c r="B69" s="39" t="s">
        <v>180</v>
      </c>
      <c r="C69" s="73" t="s">
        <v>11</v>
      </c>
      <c r="D69" s="137" t="str">
        <f t="shared" si="47"/>
        <v>Beit Berl College</v>
      </c>
      <c r="E69" s="137" t="str">
        <f t="shared" si="48"/>
        <v>Israel</v>
      </c>
      <c r="F69" s="84" t="s">
        <v>397</v>
      </c>
      <c r="G69" s="85" t="s">
        <v>226</v>
      </c>
      <c r="H69" s="86">
        <v>60</v>
      </c>
      <c r="I69" s="95" t="s">
        <v>470</v>
      </c>
      <c r="J69" s="84" t="s">
        <v>329</v>
      </c>
      <c r="K69" s="86">
        <v>1</v>
      </c>
      <c r="L69" s="87">
        <f t="shared" si="49"/>
        <v>0</v>
      </c>
      <c r="M69" s="88">
        <f t="shared" si="50"/>
        <v>7200</v>
      </c>
      <c r="N69" s="89">
        <f t="shared" si="6"/>
        <v>7200</v>
      </c>
      <c r="O69" s="79" t="str">
        <f t="shared" si="51"/>
        <v/>
      </c>
    </row>
    <row r="70" spans="2:15" s="80" customFormat="1" x14ac:dyDescent="0.3">
      <c r="B70" s="39" t="s">
        <v>372</v>
      </c>
      <c r="C70" s="73" t="s">
        <v>11</v>
      </c>
      <c r="D70" s="137" t="str">
        <f t="shared" si="47"/>
        <v>Beit Berl College</v>
      </c>
      <c r="E70" s="137" t="str">
        <f t="shared" si="48"/>
        <v>Israel</v>
      </c>
      <c r="F70" s="84" t="s">
        <v>397</v>
      </c>
      <c r="G70" s="85" t="s">
        <v>226</v>
      </c>
      <c r="H70" s="86">
        <v>30</v>
      </c>
      <c r="I70" s="95" t="s">
        <v>470</v>
      </c>
      <c r="J70" s="84" t="s">
        <v>329</v>
      </c>
      <c r="K70" s="86">
        <v>1</v>
      </c>
      <c r="L70" s="87">
        <f t="shared" si="49"/>
        <v>0</v>
      </c>
      <c r="M70" s="88">
        <f t="shared" si="50"/>
        <v>3600</v>
      </c>
      <c r="N70" s="89">
        <f t="shared" si="6"/>
        <v>3600</v>
      </c>
      <c r="O70" s="79" t="str">
        <f t="shared" si="51"/>
        <v/>
      </c>
    </row>
    <row r="71" spans="2:15" s="80" customFormat="1" x14ac:dyDescent="0.3">
      <c r="B71" s="39" t="s">
        <v>178</v>
      </c>
      <c r="C71" s="73" t="s">
        <v>11</v>
      </c>
      <c r="D71" s="137" t="str">
        <f t="shared" si="47"/>
        <v>Beit Berl College</v>
      </c>
      <c r="E71" s="137" t="str">
        <f t="shared" si="48"/>
        <v>Israel</v>
      </c>
      <c r="F71" s="84" t="s">
        <v>397</v>
      </c>
      <c r="G71" s="85" t="s">
        <v>226</v>
      </c>
      <c r="H71" s="86">
        <v>6</v>
      </c>
      <c r="I71" s="84" t="s">
        <v>401</v>
      </c>
      <c r="J71" s="84" t="s">
        <v>155</v>
      </c>
      <c r="K71" s="86">
        <v>5</v>
      </c>
      <c r="L71" s="87">
        <f t="shared" si="49"/>
        <v>2160</v>
      </c>
      <c r="M71" s="88">
        <f t="shared" si="50"/>
        <v>3600</v>
      </c>
      <c r="N71" s="89">
        <f t="shared" si="6"/>
        <v>5760</v>
      </c>
      <c r="O71" s="79" t="str">
        <f t="shared" si="51"/>
        <v/>
      </c>
    </row>
    <row r="72" spans="2:15" s="80" customFormat="1" x14ac:dyDescent="0.3">
      <c r="B72" s="39" t="s">
        <v>178</v>
      </c>
      <c r="C72" s="73" t="s">
        <v>12</v>
      </c>
      <c r="D72" s="137" t="str">
        <f t="shared" si="47"/>
        <v>Kaye Academic College of Education</v>
      </c>
      <c r="E72" s="137" t="str">
        <f t="shared" si="48"/>
        <v>Israel</v>
      </c>
      <c r="F72" s="84" t="s">
        <v>398</v>
      </c>
      <c r="G72" s="85" t="s">
        <v>226</v>
      </c>
      <c r="H72" s="86">
        <v>6</v>
      </c>
      <c r="I72" s="84" t="s">
        <v>390</v>
      </c>
      <c r="J72" s="84" t="s">
        <v>158</v>
      </c>
      <c r="K72" s="86">
        <v>5</v>
      </c>
      <c r="L72" s="87">
        <f t="shared" si="49"/>
        <v>3180</v>
      </c>
      <c r="M72" s="88">
        <f t="shared" si="50"/>
        <v>3600</v>
      </c>
      <c r="N72" s="89">
        <f t="shared" si="6"/>
        <v>6780</v>
      </c>
      <c r="O72" s="79" t="str">
        <f t="shared" si="51"/>
        <v/>
      </c>
    </row>
    <row r="73" spans="2:15" s="80" customFormat="1" x14ac:dyDescent="0.3">
      <c r="B73" s="39" t="s">
        <v>178</v>
      </c>
      <c r="C73" s="73" t="s">
        <v>12</v>
      </c>
      <c r="D73" s="137" t="str">
        <f t="shared" si="47"/>
        <v>Kaye Academic College of Education</v>
      </c>
      <c r="E73" s="137" t="str">
        <f t="shared" si="48"/>
        <v>Israel</v>
      </c>
      <c r="F73" s="84" t="s">
        <v>398</v>
      </c>
      <c r="G73" s="85" t="s">
        <v>228</v>
      </c>
      <c r="H73" s="86">
        <v>3</v>
      </c>
      <c r="I73" s="84" t="s">
        <v>390</v>
      </c>
      <c r="J73" s="84" t="s">
        <v>158</v>
      </c>
      <c r="K73" s="86">
        <v>14</v>
      </c>
      <c r="L73" s="87">
        <f t="shared" si="49"/>
        <v>1590</v>
      </c>
      <c r="M73" s="88">
        <f t="shared" si="50"/>
        <v>2310</v>
      </c>
      <c r="N73" s="89">
        <f t="shared" si="6"/>
        <v>3900</v>
      </c>
      <c r="O73" s="79" t="str">
        <f t="shared" si="51"/>
        <v/>
      </c>
    </row>
    <row r="74" spans="2:15" s="80" customFormat="1" x14ac:dyDescent="0.3">
      <c r="B74" s="39" t="s">
        <v>178</v>
      </c>
      <c r="C74" s="73" t="s">
        <v>12</v>
      </c>
      <c r="D74" s="137" t="str">
        <f t="shared" si="47"/>
        <v>Kaye Academic College of Education</v>
      </c>
      <c r="E74" s="137" t="str">
        <f t="shared" si="48"/>
        <v>Israel</v>
      </c>
      <c r="F74" s="84" t="s">
        <v>398</v>
      </c>
      <c r="G74" s="85" t="s">
        <v>226</v>
      </c>
      <c r="H74" s="86">
        <v>5</v>
      </c>
      <c r="I74" s="84" t="s">
        <v>465</v>
      </c>
      <c r="J74" s="84" t="s">
        <v>329</v>
      </c>
      <c r="K74" s="86">
        <v>5</v>
      </c>
      <c r="L74" s="87">
        <f t="shared" si="49"/>
        <v>0</v>
      </c>
      <c r="M74" s="88">
        <f t="shared" si="50"/>
        <v>3000</v>
      </c>
      <c r="N74" s="89">
        <f t="shared" si="6"/>
        <v>3000</v>
      </c>
      <c r="O74" s="79" t="str">
        <f t="shared" si="51"/>
        <v/>
      </c>
    </row>
    <row r="75" spans="2:15" s="80" customFormat="1" x14ac:dyDescent="0.3">
      <c r="B75" s="39" t="s">
        <v>178</v>
      </c>
      <c r="C75" s="73" t="s">
        <v>12</v>
      </c>
      <c r="D75" s="137" t="str">
        <f t="shared" si="47"/>
        <v>Kaye Academic College of Education</v>
      </c>
      <c r="E75" s="137" t="str">
        <f t="shared" si="48"/>
        <v>Israel</v>
      </c>
      <c r="F75" s="84" t="s">
        <v>398</v>
      </c>
      <c r="G75" s="85" t="s">
        <v>228</v>
      </c>
      <c r="H75" s="86">
        <v>8</v>
      </c>
      <c r="I75" s="84" t="s">
        <v>465</v>
      </c>
      <c r="J75" s="84" t="s">
        <v>329</v>
      </c>
      <c r="K75" s="86">
        <v>4</v>
      </c>
      <c r="L75" s="87">
        <f t="shared" si="49"/>
        <v>0</v>
      </c>
      <c r="M75" s="88">
        <f t="shared" si="50"/>
        <v>1760</v>
      </c>
      <c r="N75" s="89">
        <f t="shared" si="6"/>
        <v>1760</v>
      </c>
      <c r="O75" s="79" t="str">
        <f t="shared" si="51"/>
        <v/>
      </c>
    </row>
    <row r="76" spans="2:15" s="80" customFormat="1" x14ac:dyDescent="0.3">
      <c r="B76" s="39" t="s">
        <v>372</v>
      </c>
      <c r="C76" s="73" t="s">
        <v>12</v>
      </c>
      <c r="D76" s="137" t="str">
        <f t="shared" si="47"/>
        <v>Kaye Academic College of Education</v>
      </c>
      <c r="E76" s="137" t="str">
        <f t="shared" si="48"/>
        <v>Israel</v>
      </c>
      <c r="F76" s="84" t="s">
        <v>398</v>
      </c>
      <c r="G76" s="85" t="s">
        <v>226</v>
      </c>
      <c r="H76" s="86">
        <v>2</v>
      </c>
      <c r="I76" s="84" t="s">
        <v>393</v>
      </c>
      <c r="J76" s="84" t="s">
        <v>158</v>
      </c>
      <c r="K76" s="86">
        <v>5</v>
      </c>
      <c r="L76" s="87">
        <f t="shared" si="49"/>
        <v>1060</v>
      </c>
      <c r="M76" s="88">
        <f t="shared" si="50"/>
        <v>1200</v>
      </c>
      <c r="N76" s="89">
        <f t="shared" si="6"/>
        <v>2260</v>
      </c>
      <c r="O76" s="79" t="str">
        <f t="shared" si="51"/>
        <v/>
      </c>
    </row>
    <row r="77" spans="2:15" s="80" customFormat="1" x14ac:dyDescent="0.3">
      <c r="B77" s="39" t="s">
        <v>372</v>
      </c>
      <c r="C77" s="73" t="s">
        <v>12</v>
      </c>
      <c r="D77" s="137" t="str">
        <f t="shared" si="47"/>
        <v>Kaye Academic College of Education</v>
      </c>
      <c r="E77" s="137" t="str">
        <f t="shared" si="48"/>
        <v>Israel</v>
      </c>
      <c r="F77" s="84" t="s">
        <v>398</v>
      </c>
      <c r="G77" s="85" t="s">
        <v>226</v>
      </c>
      <c r="H77" s="86">
        <v>2</v>
      </c>
      <c r="I77" s="84" t="s">
        <v>396</v>
      </c>
      <c r="J77" s="84" t="s">
        <v>154</v>
      </c>
      <c r="K77" s="86">
        <v>5</v>
      </c>
      <c r="L77" s="87">
        <f t="shared" si="49"/>
        <v>550</v>
      </c>
      <c r="M77" s="88">
        <f t="shared" si="50"/>
        <v>1200</v>
      </c>
      <c r="N77" s="89">
        <f t="shared" si="6"/>
        <v>1750</v>
      </c>
      <c r="O77" s="79" t="str">
        <f t="shared" si="51"/>
        <v/>
      </c>
    </row>
    <row r="78" spans="2:15" s="80" customFormat="1" x14ac:dyDescent="0.3">
      <c r="B78" s="39" t="s">
        <v>178</v>
      </c>
      <c r="C78" s="73" t="s">
        <v>12</v>
      </c>
      <c r="D78" s="137" t="str">
        <f t="shared" si="47"/>
        <v>Kaye Academic College of Education</v>
      </c>
      <c r="E78" s="137" t="str">
        <f t="shared" si="48"/>
        <v>Israel</v>
      </c>
      <c r="F78" s="84" t="s">
        <v>398</v>
      </c>
      <c r="G78" s="85" t="s">
        <v>226</v>
      </c>
      <c r="H78" s="86">
        <v>6</v>
      </c>
      <c r="I78" s="84" t="s">
        <v>392</v>
      </c>
      <c r="J78" s="84" t="s">
        <v>158</v>
      </c>
      <c r="K78" s="86">
        <v>5</v>
      </c>
      <c r="L78" s="87">
        <f t="shared" si="49"/>
        <v>3180</v>
      </c>
      <c r="M78" s="88">
        <f t="shared" si="50"/>
        <v>3600</v>
      </c>
      <c r="N78" s="89">
        <f t="shared" si="6"/>
        <v>6780</v>
      </c>
      <c r="O78" s="79" t="str">
        <f t="shared" si="51"/>
        <v/>
      </c>
    </row>
    <row r="79" spans="2:15" s="80" customFormat="1" x14ac:dyDescent="0.3">
      <c r="B79" s="39" t="s">
        <v>178</v>
      </c>
      <c r="C79" s="73" t="s">
        <v>12</v>
      </c>
      <c r="D79" s="137" t="str">
        <f t="shared" si="47"/>
        <v>Kaye Academic College of Education</v>
      </c>
      <c r="E79" s="137" t="str">
        <f t="shared" si="48"/>
        <v>Israel</v>
      </c>
      <c r="F79" s="84" t="s">
        <v>398</v>
      </c>
      <c r="G79" s="85" t="s">
        <v>226</v>
      </c>
      <c r="H79" s="86">
        <v>5</v>
      </c>
      <c r="I79" s="84" t="s">
        <v>465</v>
      </c>
      <c r="J79" s="84" t="s">
        <v>153</v>
      </c>
      <c r="K79" s="86">
        <v>5</v>
      </c>
      <c r="L79" s="87">
        <f t="shared" si="49"/>
        <v>900</v>
      </c>
      <c r="M79" s="88">
        <f t="shared" si="50"/>
        <v>3000</v>
      </c>
      <c r="N79" s="89">
        <f t="shared" si="6"/>
        <v>3900</v>
      </c>
      <c r="O79" s="79" t="str">
        <f t="shared" si="51"/>
        <v/>
      </c>
    </row>
    <row r="80" spans="2:15" s="80" customFormat="1" x14ac:dyDescent="0.3">
      <c r="B80" s="39" t="s">
        <v>178</v>
      </c>
      <c r="C80" s="73" t="s">
        <v>12</v>
      </c>
      <c r="D80" s="137" t="str">
        <f t="shared" si="47"/>
        <v>Kaye Academic College of Education</v>
      </c>
      <c r="E80" s="137" t="str">
        <f t="shared" si="48"/>
        <v>Israel</v>
      </c>
      <c r="F80" s="84" t="s">
        <v>398</v>
      </c>
      <c r="G80" s="85" t="s">
        <v>228</v>
      </c>
      <c r="H80" s="86">
        <v>8</v>
      </c>
      <c r="I80" s="84" t="s">
        <v>465</v>
      </c>
      <c r="J80" s="84" t="s">
        <v>153</v>
      </c>
      <c r="K80" s="86">
        <v>4</v>
      </c>
      <c r="L80" s="87">
        <f t="shared" si="49"/>
        <v>1440</v>
      </c>
      <c r="M80" s="88">
        <f t="shared" si="50"/>
        <v>1760</v>
      </c>
      <c r="N80" s="89">
        <f t="shared" si="6"/>
        <v>3200</v>
      </c>
      <c r="O80" s="79" t="str">
        <f t="shared" si="51"/>
        <v/>
      </c>
    </row>
    <row r="81" spans="2:15" s="80" customFormat="1" x14ac:dyDescent="0.3">
      <c r="B81" s="39" t="s">
        <v>372</v>
      </c>
      <c r="C81" s="73" t="s">
        <v>12</v>
      </c>
      <c r="D81" s="137" t="str">
        <f t="shared" si="47"/>
        <v>Kaye Academic College of Education</v>
      </c>
      <c r="E81" s="137" t="str">
        <f t="shared" si="48"/>
        <v>Israel</v>
      </c>
      <c r="F81" s="84" t="s">
        <v>398</v>
      </c>
      <c r="G81" s="85" t="s">
        <v>226</v>
      </c>
      <c r="H81" s="86">
        <v>2</v>
      </c>
      <c r="I81" s="84" t="s">
        <v>395</v>
      </c>
      <c r="J81" s="84" t="s">
        <v>158</v>
      </c>
      <c r="K81" s="86">
        <v>5</v>
      </c>
      <c r="L81" s="87">
        <f t="shared" si="49"/>
        <v>1060</v>
      </c>
      <c r="M81" s="88">
        <f t="shared" si="50"/>
        <v>1200</v>
      </c>
      <c r="N81" s="89">
        <f t="shared" si="6"/>
        <v>2260</v>
      </c>
      <c r="O81" s="79" t="str">
        <f t="shared" si="51"/>
        <v/>
      </c>
    </row>
    <row r="82" spans="2:15" s="80" customFormat="1" x14ac:dyDescent="0.3">
      <c r="B82" s="39" t="s">
        <v>372</v>
      </c>
      <c r="C82" s="73" t="s">
        <v>12</v>
      </c>
      <c r="D82" s="137" t="str">
        <f t="shared" si="47"/>
        <v>Kaye Academic College of Education</v>
      </c>
      <c r="E82" s="137" t="str">
        <f t="shared" si="48"/>
        <v>Israel</v>
      </c>
      <c r="F82" s="84" t="s">
        <v>398</v>
      </c>
      <c r="G82" s="85" t="s">
        <v>226</v>
      </c>
      <c r="H82" s="86">
        <v>2</v>
      </c>
      <c r="I82" s="95" t="s">
        <v>391</v>
      </c>
      <c r="J82" s="84" t="s">
        <v>155</v>
      </c>
      <c r="K82" s="86">
        <v>5</v>
      </c>
      <c r="L82" s="87">
        <f t="shared" si="49"/>
        <v>720</v>
      </c>
      <c r="M82" s="88">
        <f t="shared" si="50"/>
        <v>1200</v>
      </c>
      <c r="N82" s="89">
        <f t="shared" si="6"/>
        <v>1920</v>
      </c>
      <c r="O82" s="79" t="str">
        <f t="shared" si="51"/>
        <v/>
      </c>
    </row>
    <row r="83" spans="2:15" s="80" customFormat="1" x14ac:dyDescent="0.3">
      <c r="B83" s="39" t="s">
        <v>178</v>
      </c>
      <c r="C83" s="73" t="s">
        <v>12</v>
      </c>
      <c r="D83" s="137" t="str">
        <f t="shared" si="47"/>
        <v>Kaye Academic College of Education</v>
      </c>
      <c r="E83" s="137" t="str">
        <f t="shared" si="48"/>
        <v>Israel</v>
      </c>
      <c r="F83" s="84" t="s">
        <v>398</v>
      </c>
      <c r="G83" s="85" t="s">
        <v>226</v>
      </c>
      <c r="H83" s="86">
        <v>6</v>
      </c>
      <c r="I83" s="84" t="s">
        <v>394</v>
      </c>
      <c r="J83" s="84" t="s">
        <v>154</v>
      </c>
      <c r="K83" s="86">
        <v>5</v>
      </c>
      <c r="L83" s="87">
        <f t="shared" si="49"/>
        <v>1650</v>
      </c>
      <c r="M83" s="88">
        <f t="shared" si="50"/>
        <v>3600</v>
      </c>
      <c r="N83" s="89">
        <f t="shared" si="6"/>
        <v>5250</v>
      </c>
      <c r="O83" s="79" t="str">
        <f t="shared" si="51"/>
        <v/>
      </c>
    </row>
    <row r="84" spans="2:15" s="80" customFormat="1" x14ac:dyDescent="0.3">
      <c r="B84" s="39" t="s">
        <v>178</v>
      </c>
      <c r="C84" s="73" t="s">
        <v>12</v>
      </c>
      <c r="D84" s="137" t="str">
        <f t="shared" si="47"/>
        <v>Kaye Academic College of Education</v>
      </c>
      <c r="E84" s="137" t="str">
        <f t="shared" si="48"/>
        <v>Israel</v>
      </c>
      <c r="F84" s="84" t="s">
        <v>398</v>
      </c>
      <c r="G84" s="85" t="s">
        <v>226</v>
      </c>
      <c r="H84" s="86">
        <v>5</v>
      </c>
      <c r="I84" s="84" t="s">
        <v>465</v>
      </c>
      <c r="J84" s="84" t="s">
        <v>329</v>
      </c>
      <c r="K84" s="86">
        <v>5</v>
      </c>
      <c r="L84" s="87">
        <f t="shared" si="49"/>
        <v>0</v>
      </c>
      <c r="M84" s="88">
        <f t="shared" si="50"/>
        <v>3000</v>
      </c>
      <c r="N84" s="89">
        <f t="shared" si="6"/>
        <v>3000</v>
      </c>
      <c r="O84" s="79" t="str">
        <f t="shared" si="51"/>
        <v/>
      </c>
    </row>
    <row r="85" spans="2:15" s="80" customFormat="1" x14ac:dyDescent="0.3">
      <c r="B85" s="39" t="s">
        <v>178</v>
      </c>
      <c r="C85" s="73" t="s">
        <v>12</v>
      </c>
      <c r="D85" s="137" t="str">
        <f t="shared" si="47"/>
        <v>Kaye Academic College of Education</v>
      </c>
      <c r="E85" s="137" t="str">
        <f t="shared" si="48"/>
        <v>Israel</v>
      </c>
      <c r="F85" s="84" t="s">
        <v>398</v>
      </c>
      <c r="G85" s="85" t="s">
        <v>228</v>
      </c>
      <c r="H85" s="86">
        <v>8</v>
      </c>
      <c r="I85" s="84" t="s">
        <v>465</v>
      </c>
      <c r="J85" s="84" t="s">
        <v>329</v>
      </c>
      <c r="K85" s="86">
        <v>4</v>
      </c>
      <c r="L85" s="87">
        <f t="shared" si="49"/>
        <v>0</v>
      </c>
      <c r="M85" s="88">
        <f t="shared" si="50"/>
        <v>1760</v>
      </c>
      <c r="N85" s="89">
        <f t="shared" si="6"/>
        <v>1760</v>
      </c>
      <c r="O85" s="79" t="str">
        <f t="shared" si="51"/>
        <v/>
      </c>
    </row>
    <row r="86" spans="2:15" s="80" customFormat="1" x14ac:dyDescent="0.3">
      <c r="B86" s="39" t="s">
        <v>372</v>
      </c>
      <c r="C86" s="73" t="s">
        <v>12</v>
      </c>
      <c r="D86" s="137" t="str">
        <f t="shared" si="47"/>
        <v>Kaye Academic College of Education</v>
      </c>
      <c r="E86" s="137" t="str">
        <f t="shared" si="48"/>
        <v>Israel</v>
      </c>
      <c r="F86" s="84" t="s">
        <v>398</v>
      </c>
      <c r="G86" s="85" t="s">
        <v>226</v>
      </c>
      <c r="H86" s="86">
        <v>2</v>
      </c>
      <c r="I86" s="84" t="s">
        <v>396</v>
      </c>
      <c r="J86" s="84" t="s">
        <v>154</v>
      </c>
      <c r="K86" s="86">
        <v>5</v>
      </c>
      <c r="L86" s="87">
        <f t="shared" si="49"/>
        <v>550</v>
      </c>
      <c r="M86" s="88">
        <f t="shared" si="50"/>
        <v>1200</v>
      </c>
      <c r="N86" s="89">
        <f t="shared" si="6"/>
        <v>1750</v>
      </c>
      <c r="O86" s="79" t="str">
        <f t="shared" si="51"/>
        <v/>
      </c>
    </row>
    <row r="87" spans="2:15" s="80" customFormat="1" x14ac:dyDescent="0.3">
      <c r="B87" s="39" t="s">
        <v>372</v>
      </c>
      <c r="C87" s="73" t="s">
        <v>12</v>
      </c>
      <c r="D87" s="137" t="str">
        <f t="shared" si="47"/>
        <v>Kaye Academic College of Education</v>
      </c>
      <c r="E87" s="137" t="str">
        <f t="shared" si="48"/>
        <v>Israel</v>
      </c>
      <c r="F87" s="84" t="s">
        <v>398</v>
      </c>
      <c r="G87" s="85" t="s">
        <v>226</v>
      </c>
      <c r="H87" s="86">
        <v>2</v>
      </c>
      <c r="I87" s="84" t="s">
        <v>393</v>
      </c>
      <c r="J87" s="84" t="s">
        <v>158</v>
      </c>
      <c r="K87" s="86">
        <v>5</v>
      </c>
      <c r="L87" s="87">
        <f t="shared" si="49"/>
        <v>1060</v>
      </c>
      <c r="M87" s="88">
        <f t="shared" si="50"/>
        <v>1200</v>
      </c>
      <c r="N87" s="89">
        <f t="shared" si="6"/>
        <v>2260</v>
      </c>
      <c r="O87" s="79" t="str">
        <f t="shared" si="51"/>
        <v/>
      </c>
    </row>
    <row r="88" spans="2:15" s="80" customFormat="1" x14ac:dyDescent="0.3">
      <c r="B88" s="39" t="s">
        <v>180</v>
      </c>
      <c r="C88" s="73" t="s">
        <v>12</v>
      </c>
      <c r="D88" s="137" t="str">
        <f t="shared" si="47"/>
        <v>Kaye Academic College of Education</v>
      </c>
      <c r="E88" s="137" t="str">
        <f t="shared" si="48"/>
        <v>Israel</v>
      </c>
      <c r="F88" s="84" t="s">
        <v>398</v>
      </c>
      <c r="G88" s="85" t="s">
        <v>226</v>
      </c>
      <c r="H88" s="86">
        <v>60</v>
      </c>
      <c r="I88" s="95" t="s">
        <v>470</v>
      </c>
      <c r="J88" s="84" t="s">
        <v>329</v>
      </c>
      <c r="K88" s="86">
        <v>1</v>
      </c>
      <c r="L88" s="87">
        <f t="shared" si="49"/>
        <v>0</v>
      </c>
      <c r="M88" s="88">
        <f t="shared" si="50"/>
        <v>7200</v>
      </c>
      <c r="N88" s="89">
        <f t="shared" si="6"/>
        <v>7200</v>
      </c>
      <c r="O88" s="79" t="str">
        <f t="shared" si="51"/>
        <v/>
      </c>
    </row>
    <row r="89" spans="2:15" s="80" customFormat="1" x14ac:dyDescent="0.3">
      <c r="B89" s="39" t="s">
        <v>372</v>
      </c>
      <c r="C89" s="73" t="s">
        <v>12</v>
      </c>
      <c r="D89" s="137" t="str">
        <f t="shared" si="47"/>
        <v>Kaye Academic College of Education</v>
      </c>
      <c r="E89" s="137" t="str">
        <f t="shared" si="48"/>
        <v>Israel</v>
      </c>
      <c r="F89" s="84" t="s">
        <v>398</v>
      </c>
      <c r="G89" s="85" t="s">
        <v>226</v>
      </c>
      <c r="H89" s="86">
        <v>30</v>
      </c>
      <c r="I89" s="95" t="s">
        <v>470</v>
      </c>
      <c r="J89" s="84" t="s">
        <v>329</v>
      </c>
      <c r="K89" s="86">
        <v>1</v>
      </c>
      <c r="L89" s="87">
        <f t="shared" si="49"/>
        <v>0</v>
      </c>
      <c r="M89" s="88">
        <f t="shared" si="50"/>
        <v>3600</v>
      </c>
      <c r="N89" s="89">
        <f t="shared" si="6"/>
        <v>3600</v>
      </c>
      <c r="O89" s="79" t="str">
        <f t="shared" si="51"/>
        <v/>
      </c>
    </row>
    <row r="90" spans="2:15" s="80" customFormat="1" x14ac:dyDescent="0.3">
      <c r="B90" s="39" t="s">
        <v>178</v>
      </c>
      <c r="C90" s="73" t="s">
        <v>12</v>
      </c>
      <c r="D90" s="137" t="str">
        <f t="shared" si="47"/>
        <v>Kaye Academic College of Education</v>
      </c>
      <c r="E90" s="137" t="str">
        <f t="shared" si="48"/>
        <v>Israel</v>
      </c>
      <c r="F90" s="84" t="s">
        <v>398</v>
      </c>
      <c r="G90" s="85" t="s">
        <v>226</v>
      </c>
      <c r="H90" s="86">
        <v>6</v>
      </c>
      <c r="I90" s="84" t="s">
        <v>401</v>
      </c>
      <c r="J90" s="84" t="s">
        <v>155</v>
      </c>
      <c r="K90" s="86">
        <v>5</v>
      </c>
      <c r="L90" s="87">
        <f t="shared" si="49"/>
        <v>2160</v>
      </c>
      <c r="M90" s="88">
        <f t="shared" si="50"/>
        <v>3600</v>
      </c>
      <c r="N90" s="89">
        <f t="shared" si="6"/>
        <v>5760</v>
      </c>
      <c r="O90" s="79" t="str">
        <f t="shared" si="51"/>
        <v/>
      </c>
    </row>
    <row r="91" spans="2:15" s="80" customFormat="1" x14ac:dyDescent="0.3">
      <c r="B91" s="39" t="s">
        <v>178</v>
      </c>
      <c r="C91" s="73" t="s">
        <v>12</v>
      </c>
      <c r="D91" s="137" t="str">
        <f t="shared" si="47"/>
        <v>Kaye Academic College of Education</v>
      </c>
      <c r="E91" s="137" t="str">
        <f t="shared" si="48"/>
        <v>Israel</v>
      </c>
      <c r="F91" s="84" t="s">
        <v>398</v>
      </c>
      <c r="G91" s="85" t="s">
        <v>228</v>
      </c>
      <c r="H91" s="86">
        <v>3</v>
      </c>
      <c r="I91" s="84" t="s">
        <v>401</v>
      </c>
      <c r="J91" s="84" t="s">
        <v>155</v>
      </c>
      <c r="K91" s="86">
        <v>14</v>
      </c>
      <c r="L91" s="87">
        <f t="shared" si="49"/>
        <v>1080</v>
      </c>
      <c r="M91" s="88">
        <f t="shared" si="50"/>
        <v>2310</v>
      </c>
      <c r="N91" s="89">
        <f t="shared" si="6"/>
        <v>3390</v>
      </c>
      <c r="O91" s="79" t="str">
        <f t="shared" si="51"/>
        <v/>
      </c>
    </row>
    <row r="92" spans="2:15" s="80" customFormat="1" x14ac:dyDescent="0.3">
      <c r="B92" s="39" t="s">
        <v>178</v>
      </c>
      <c r="C92" s="73" t="s">
        <v>13</v>
      </c>
      <c r="D92" s="137" t="str">
        <f t="shared" si="47"/>
        <v>University of Bucharest</v>
      </c>
      <c r="E92" s="137" t="str">
        <f t="shared" si="48"/>
        <v>Romania</v>
      </c>
      <c r="F92" s="84" t="s">
        <v>394</v>
      </c>
      <c r="G92" s="85" t="s">
        <v>226</v>
      </c>
      <c r="H92" s="86">
        <v>2</v>
      </c>
      <c r="I92" s="84" t="s">
        <v>390</v>
      </c>
      <c r="J92" s="84" t="s">
        <v>154</v>
      </c>
      <c r="K92" s="86">
        <v>5</v>
      </c>
      <c r="L92" s="87">
        <f t="shared" si="49"/>
        <v>550</v>
      </c>
      <c r="M92" s="88">
        <f t="shared" si="50"/>
        <v>1200</v>
      </c>
      <c r="N92" s="89">
        <f t="shared" si="6"/>
        <v>1750</v>
      </c>
      <c r="O92" s="79" t="str">
        <f t="shared" si="51"/>
        <v/>
      </c>
    </row>
    <row r="93" spans="2:15" s="80" customFormat="1" x14ac:dyDescent="0.3">
      <c r="B93" s="39" t="s">
        <v>178</v>
      </c>
      <c r="C93" s="73" t="s">
        <v>13</v>
      </c>
      <c r="D93" s="137" t="str">
        <f t="shared" si="47"/>
        <v>University of Bucharest</v>
      </c>
      <c r="E93" s="137" t="str">
        <f t="shared" si="48"/>
        <v>Romania</v>
      </c>
      <c r="F93" s="84" t="s">
        <v>394</v>
      </c>
      <c r="G93" s="85" t="s">
        <v>226</v>
      </c>
      <c r="H93" s="86">
        <v>3</v>
      </c>
      <c r="I93" s="84" t="s">
        <v>389</v>
      </c>
      <c r="J93" s="84" t="s">
        <v>154</v>
      </c>
      <c r="K93" s="86">
        <v>5</v>
      </c>
      <c r="L93" s="87">
        <f t="shared" si="49"/>
        <v>825</v>
      </c>
      <c r="M93" s="88">
        <f t="shared" si="50"/>
        <v>1800</v>
      </c>
      <c r="N93" s="89">
        <f t="shared" si="6"/>
        <v>2625</v>
      </c>
      <c r="O93" s="79" t="str">
        <f t="shared" si="51"/>
        <v/>
      </c>
    </row>
    <row r="94" spans="2:15" s="80" customFormat="1" x14ac:dyDescent="0.3">
      <c r="B94" s="39" t="s">
        <v>366</v>
      </c>
      <c r="C94" s="73" t="s">
        <v>13</v>
      </c>
      <c r="D94" s="137" t="str">
        <f t="shared" si="47"/>
        <v>University of Bucharest</v>
      </c>
      <c r="E94" s="137" t="str">
        <f t="shared" si="48"/>
        <v>Romania</v>
      </c>
      <c r="F94" s="84" t="s">
        <v>394</v>
      </c>
      <c r="G94" s="85" t="s">
        <v>228</v>
      </c>
      <c r="H94" s="86">
        <v>2</v>
      </c>
      <c r="I94" s="84" t="s">
        <v>389</v>
      </c>
      <c r="J94" s="84" t="s">
        <v>154</v>
      </c>
      <c r="K94" s="86">
        <v>4</v>
      </c>
      <c r="L94" s="87">
        <f t="shared" si="49"/>
        <v>550</v>
      </c>
      <c r="M94" s="88">
        <f t="shared" si="50"/>
        <v>440</v>
      </c>
      <c r="N94" s="89">
        <f t="shared" si="6"/>
        <v>990</v>
      </c>
      <c r="O94" s="79" t="str">
        <f t="shared" si="51"/>
        <v/>
      </c>
    </row>
    <row r="95" spans="2:15" s="80" customFormat="1" x14ac:dyDescent="0.3">
      <c r="B95" s="39" t="s">
        <v>372</v>
      </c>
      <c r="C95" s="73" t="s">
        <v>13</v>
      </c>
      <c r="D95" s="137" t="str">
        <f t="shared" si="47"/>
        <v>University of Bucharest</v>
      </c>
      <c r="E95" s="137" t="str">
        <f t="shared" si="48"/>
        <v>Romania</v>
      </c>
      <c r="F95" s="84" t="s">
        <v>394</v>
      </c>
      <c r="G95" s="85" t="s">
        <v>226</v>
      </c>
      <c r="H95" s="86">
        <v>1</v>
      </c>
      <c r="I95" s="84" t="s">
        <v>399</v>
      </c>
      <c r="J95" s="84" t="s">
        <v>154</v>
      </c>
      <c r="K95" s="86">
        <v>5</v>
      </c>
      <c r="L95" s="87">
        <f t="shared" si="49"/>
        <v>275</v>
      </c>
      <c r="M95" s="88">
        <f t="shared" si="50"/>
        <v>600</v>
      </c>
      <c r="N95" s="89">
        <f t="shared" si="6"/>
        <v>875</v>
      </c>
      <c r="O95" s="79" t="str">
        <f t="shared" si="51"/>
        <v/>
      </c>
    </row>
    <row r="96" spans="2:15" s="80" customFormat="1" x14ac:dyDescent="0.3">
      <c r="B96" s="39" t="s">
        <v>372</v>
      </c>
      <c r="C96" s="73" t="s">
        <v>13</v>
      </c>
      <c r="D96" s="137" t="str">
        <f t="shared" si="47"/>
        <v>University of Bucharest</v>
      </c>
      <c r="E96" s="137" t="str">
        <f t="shared" si="48"/>
        <v>Romania</v>
      </c>
      <c r="F96" s="84" t="s">
        <v>394</v>
      </c>
      <c r="G96" s="85" t="s">
        <v>226</v>
      </c>
      <c r="H96" s="86">
        <v>1</v>
      </c>
      <c r="I96" s="84" t="s">
        <v>395</v>
      </c>
      <c r="J96" s="84" t="s">
        <v>155</v>
      </c>
      <c r="K96" s="86">
        <v>5</v>
      </c>
      <c r="L96" s="87">
        <f t="shared" si="49"/>
        <v>360</v>
      </c>
      <c r="M96" s="88">
        <f t="shared" si="50"/>
        <v>600</v>
      </c>
      <c r="N96" s="89">
        <f t="shared" si="6"/>
        <v>960</v>
      </c>
      <c r="O96" s="79" t="str">
        <f t="shared" si="51"/>
        <v/>
      </c>
    </row>
    <row r="97" spans="2:15" s="80" customFormat="1" x14ac:dyDescent="0.3">
      <c r="B97" s="39" t="s">
        <v>178</v>
      </c>
      <c r="C97" s="73" t="s">
        <v>13</v>
      </c>
      <c r="D97" s="137" t="str">
        <f t="shared" ref="D97:D146" si="52">IFERROR(IF(VLOOKUP(C97,PartnerN°Ref,2,FALSE)=0,"",VLOOKUP(C97,PartnerN°Ref,2,FALSE)),"")</f>
        <v>University of Bucharest</v>
      </c>
      <c r="E97" s="137" t="str">
        <f t="shared" ref="E97:E146" si="53">IFERROR(IF(OR(VLOOKUP(C97,PartnerN°Ref,4,FALSE)="Country not found",VLOOKUP(C97,PartnerN°Ref,3,FALSE)=0),"",VLOOKUP(C97,PartnerN°Ref,3,FALSE)),"")</f>
        <v>Romania</v>
      </c>
      <c r="F97" s="84" t="s">
        <v>394</v>
      </c>
      <c r="G97" s="85" t="s">
        <v>226</v>
      </c>
      <c r="H97" s="86">
        <v>2</v>
      </c>
      <c r="I97" s="84" t="s">
        <v>392</v>
      </c>
      <c r="J97" s="84" t="s">
        <v>155</v>
      </c>
      <c r="K97" s="86">
        <v>5</v>
      </c>
      <c r="L97" s="87">
        <f t="shared" ref="L97:L146" si="54">IF(O97="Error",0,ROUND(ROUND(H97,0)*(VLOOKUP(J97,TravelCosts,2,FALSE)),2))</f>
        <v>720</v>
      </c>
      <c r="M97" s="88">
        <f t="shared" ref="M97:M146" si="55">IF(O97="Error",0,IF(AND(G97="Staff",K97&gt;0,K97&lt;15),(120*K97)*H97,IF(AND(G97="Staff",K97&gt;14,K97&lt;61),(1680+((K97-14)*70))*H97,IF(AND(G97="Staff",K97&gt;60,K97&lt;91),(4900+((K97-60)*50))*H97,IF(AND(G97="Student",K97&gt;0,K97&lt;15),(55*K97)*H97,IF(AND(G97="Student",K97&gt;14,K97&lt;91),(770+((K97-14)*40))*H97,0))))))</f>
        <v>1200</v>
      </c>
      <c r="N97" s="89">
        <f t="shared" si="6"/>
        <v>1920</v>
      </c>
      <c r="O97" s="79" t="str">
        <f t="shared" ref="O97:O146" si="56">IF(OR(COUNTIF(WorkPackage,B97)=0,COUNTIF(PartnerN°,C97)=0,D97="",COUNTIF(CountryALL,E97)=0,F97="",COUNTIF(Category2,G97)=0,ISNUMBER(H97)=FALSE,I97="",COUNTIF(TravelBands,J97)=0,ISNUMBER(K97)=FALSE,OR(K97&lt;0,K97&gt;90),IF(ISNUMBER(H97)=TRUE,H97=INT(H97*1)/1=FALSE),IF(ISNUMBER(K97)=TRUE,K97=INT(K97*1)/1=FALSE)),"Error","")</f>
        <v/>
      </c>
    </row>
    <row r="98" spans="2:15" s="80" customFormat="1" x14ac:dyDescent="0.3">
      <c r="B98" s="39" t="s">
        <v>178</v>
      </c>
      <c r="C98" s="73" t="s">
        <v>13</v>
      </c>
      <c r="D98" s="137" t="str">
        <f t="shared" si="52"/>
        <v>University of Bucharest</v>
      </c>
      <c r="E98" s="137" t="str">
        <f t="shared" si="53"/>
        <v>Romania</v>
      </c>
      <c r="F98" s="84" t="s">
        <v>394</v>
      </c>
      <c r="G98" s="85" t="s">
        <v>226</v>
      </c>
      <c r="H98" s="86">
        <v>3</v>
      </c>
      <c r="I98" s="84" t="s">
        <v>397</v>
      </c>
      <c r="J98" s="84" t="s">
        <v>154</v>
      </c>
      <c r="K98" s="86">
        <v>5</v>
      </c>
      <c r="L98" s="87">
        <f t="shared" si="54"/>
        <v>825</v>
      </c>
      <c r="M98" s="88">
        <f t="shared" si="55"/>
        <v>1800</v>
      </c>
      <c r="N98" s="89">
        <f t="shared" si="6"/>
        <v>2625</v>
      </c>
      <c r="O98" s="79" t="str">
        <f t="shared" si="56"/>
        <v/>
      </c>
    </row>
    <row r="99" spans="2:15" s="80" customFormat="1" x14ac:dyDescent="0.3">
      <c r="B99" s="39" t="s">
        <v>366</v>
      </c>
      <c r="C99" s="73" t="s">
        <v>13</v>
      </c>
      <c r="D99" s="137" t="str">
        <f t="shared" si="52"/>
        <v>University of Bucharest</v>
      </c>
      <c r="E99" s="137" t="str">
        <f t="shared" si="53"/>
        <v>Romania</v>
      </c>
      <c r="F99" s="84" t="s">
        <v>394</v>
      </c>
      <c r="G99" s="85" t="s">
        <v>228</v>
      </c>
      <c r="H99" s="86">
        <v>2</v>
      </c>
      <c r="I99" s="84" t="s">
        <v>397</v>
      </c>
      <c r="J99" s="84" t="s">
        <v>154</v>
      </c>
      <c r="K99" s="86">
        <v>4</v>
      </c>
      <c r="L99" s="87">
        <f t="shared" si="54"/>
        <v>550</v>
      </c>
      <c r="M99" s="88">
        <f t="shared" si="55"/>
        <v>440</v>
      </c>
      <c r="N99" s="89">
        <f t="shared" si="6"/>
        <v>990</v>
      </c>
      <c r="O99" s="79" t="str">
        <f t="shared" si="56"/>
        <v/>
      </c>
    </row>
    <row r="100" spans="2:15" s="80" customFormat="1" x14ac:dyDescent="0.3">
      <c r="B100" s="39" t="s">
        <v>372</v>
      </c>
      <c r="C100" s="73" t="s">
        <v>13</v>
      </c>
      <c r="D100" s="137" t="str">
        <f t="shared" si="52"/>
        <v>University of Bucharest</v>
      </c>
      <c r="E100" s="137" t="str">
        <f t="shared" si="53"/>
        <v>Romania</v>
      </c>
      <c r="F100" s="84" t="s">
        <v>394</v>
      </c>
      <c r="G100" s="85" t="s">
        <v>226</v>
      </c>
      <c r="H100" s="86">
        <v>1</v>
      </c>
      <c r="I100" s="84" t="s">
        <v>391</v>
      </c>
      <c r="J100" s="84" t="s">
        <v>154</v>
      </c>
      <c r="K100" s="86">
        <v>5</v>
      </c>
      <c r="L100" s="87">
        <f t="shared" si="54"/>
        <v>275</v>
      </c>
      <c r="M100" s="88">
        <f t="shared" si="55"/>
        <v>600</v>
      </c>
      <c r="N100" s="89">
        <f t="shared" si="6"/>
        <v>875</v>
      </c>
      <c r="O100" s="79" t="str">
        <f t="shared" si="56"/>
        <v/>
      </c>
    </row>
    <row r="101" spans="2:15" s="80" customFormat="1" x14ac:dyDescent="0.3">
      <c r="B101" s="39" t="s">
        <v>372</v>
      </c>
      <c r="C101" s="73" t="s">
        <v>13</v>
      </c>
      <c r="D101" s="137" t="str">
        <f t="shared" si="52"/>
        <v>University of Bucharest</v>
      </c>
      <c r="E101" s="137" t="str">
        <f t="shared" si="53"/>
        <v>Romania</v>
      </c>
      <c r="F101" s="84" t="s">
        <v>394</v>
      </c>
      <c r="G101" s="85" t="s">
        <v>226</v>
      </c>
      <c r="H101" s="86">
        <v>2</v>
      </c>
      <c r="I101" s="95" t="s">
        <v>393</v>
      </c>
      <c r="J101" s="84" t="s">
        <v>154</v>
      </c>
      <c r="K101" s="86">
        <v>5</v>
      </c>
      <c r="L101" s="87">
        <f t="shared" si="54"/>
        <v>550</v>
      </c>
      <c r="M101" s="88">
        <f t="shared" si="55"/>
        <v>1200</v>
      </c>
      <c r="N101" s="89">
        <f t="shared" si="6"/>
        <v>1750</v>
      </c>
      <c r="O101" s="79" t="str">
        <f t="shared" si="56"/>
        <v/>
      </c>
    </row>
    <row r="102" spans="2:15" s="80" customFormat="1" x14ac:dyDescent="0.3">
      <c r="B102" s="39" t="s">
        <v>178</v>
      </c>
      <c r="C102" s="73" t="s">
        <v>13</v>
      </c>
      <c r="D102" s="137" t="str">
        <f t="shared" si="52"/>
        <v>University of Bucharest</v>
      </c>
      <c r="E102" s="137" t="str">
        <f t="shared" si="53"/>
        <v>Romania</v>
      </c>
      <c r="F102" s="84" t="s">
        <v>394</v>
      </c>
      <c r="G102" s="85" t="s">
        <v>226</v>
      </c>
      <c r="H102" s="86">
        <v>3</v>
      </c>
      <c r="I102" s="84" t="s">
        <v>466</v>
      </c>
      <c r="J102" s="84" t="s">
        <v>329</v>
      </c>
      <c r="K102" s="86">
        <v>5</v>
      </c>
      <c r="L102" s="87">
        <f t="shared" si="54"/>
        <v>0</v>
      </c>
      <c r="M102" s="88">
        <f t="shared" si="55"/>
        <v>1800</v>
      </c>
      <c r="N102" s="89">
        <f t="shared" si="6"/>
        <v>1800</v>
      </c>
      <c r="O102" s="79" t="str">
        <f t="shared" si="56"/>
        <v/>
      </c>
    </row>
    <row r="103" spans="2:15" s="80" customFormat="1" x14ac:dyDescent="0.3">
      <c r="B103" s="39" t="s">
        <v>178</v>
      </c>
      <c r="C103" s="73" t="s">
        <v>13</v>
      </c>
      <c r="D103" s="137" t="str">
        <f t="shared" si="52"/>
        <v>University of Bucharest</v>
      </c>
      <c r="E103" s="137" t="str">
        <f t="shared" si="53"/>
        <v>Romania</v>
      </c>
      <c r="F103" s="84" t="s">
        <v>394</v>
      </c>
      <c r="G103" s="85" t="s">
        <v>226</v>
      </c>
      <c r="H103" s="86">
        <v>3</v>
      </c>
      <c r="I103" s="84" t="s">
        <v>398</v>
      </c>
      <c r="J103" s="84" t="s">
        <v>154</v>
      </c>
      <c r="K103" s="86">
        <v>5</v>
      </c>
      <c r="L103" s="87">
        <f t="shared" si="54"/>
        <v>825</v>
      </c>
      <c r="M103" s="88">
        <f t="shared" si="55"/>
        <v>1800</v>
      </c>
      <c r="N103" s="89">
        <f t="shared" si="6"/>
        <v>2625</v>
      </c>
      <c r="O103" s="79" t="str">
        <f t="shared" si="56"/>
        <v/>
      </c>
    </row>
    <row r="104" spans="2:15" s="80" customFormat="1" x14ac:dyDescent="0.3">
      <c r="B104" s="39" t="s">
        <v>366</v>
      </c>
      <c r="C104" s="73" t="s">
        <v>13</v>
      </c>
      <c r="D104" s="137" t="str">
        <f t="shared" si="52"/>
        <v>University of Bucharest</v>
      </c>
      <c r="E104" s="137" t="str">
        <f t="shared" si="53"/>
        <v>Romania</v>
      </c>
      <c r="F104" s="84" t="s">
        <v>394</v>
      </c>
      <c r="G104" s="85" t="s">
        <v>228</v>
      </c>
      <c r="H104" s="86">
        <v>2</v>
      </c>
      <c r="I104" s="84" t="s">
        <v>398</v>
      </c>
      <c r="J104" s="84" t="s">
        <v>154</v>
      </c>
      <c r="K104" s="86">
        <v>4</v>
      </c>
      <c r="L104" s="87">
        <f t="shared" si="54"/>
        <v>550</v>
      </c>
      <c r="M104" s="88">
        <f t="shared" si="55"/>
        <v>440</v>
      </c>
      <c r="N104" s="89">
        <f t="shared" si="6"/>
        <v>990</v>
      </c>
      <c r="O104" s="79" t="str">
        <f t="shared" si="56"/>
        <v/>
      </c>
    </row>
    <row r="105" spans="2:15" s="80" customFormat="1" x14ac:dyDescent="0.3">
      <c r="B105" s="39" t="s">
        <v>372</v>
      </c>
      <c r="C105" s="73" t="s">
        <v>13</v>
      </c>
      <c r="D105" s="137" t="str">
        <f t="shared" si="52"/>
        <v>University of Bucharest</v>
      </c>
      <c r="E105" s="137" t="str">
        <f t="shared" si="53"/>
        <v>Romania</v>
      </c>
      <c r="F105" s="84" t="s">
        <v>394</v>
      </c>
      <c r="G105" s="85" t="s">
        <v>226</v>
      </c>
      <c r="H105" s="86">
        <v>1</v>
      </c>
      <c r="I105" s="84" t="s">
        <v>395</v>
      </c>
      <c r="J105" s="84" t="s">
        <v>155</v>
      </c>
      <c r="K105" s="86">
        <v>5</v>
      </c>
      <c r="L105" s="87">
        <f t="shared" si="54"/>
        <v>360</v>
      </c>
      <c r="M105" s="88">
        <f t="shared" si="55"/>
        <v>600</v>
      </c>
      <c r="N105" s="89">
        <f t="shared" si="6"/>
        <v>960</v>
      </c>
      <c r="O105" s="79" t="str">
        <f t="shared" si="56"/>
        <v/>
      </c>
    </row>
    <row r="106" spans="2:15" s="80" customFormat="1" x14ac:dyDescent="0.3">
      <c r="B106" s="39" t="s">
        <v>372</v>
      </c>
      <c r="C106" s="73" t="s">
        <v>13</v>
      </c>
      <c r="D106" s="137" t="str">
        <f t="shared" si="52"/>
        <v>University of Bucharest</v>
      </c>
      <c r="E106" s="137" t="str">
        <f t="shared" si="53"/>
        <v>Romania</v>
      </c>
      <c r="F106" s="84" t="s">
        <v>394</v>
      </c>
      <c r="G106" s="85" t="s">
        <v>226</v>
      </c>
      <c r="H106" s="86">
        <v>2</v>
      </c>
      <c r="I106" s="84" t="s">
        <v>399</v>
      </c>
      <c r="J106" s="84" t="s">
        <v>154</v>
      </c>
      <c r="K106" s="86">
        <v>5</v>
      </c>
      <c r="L106" s="87">
        <f t="shared" si="54"/>
        <v>550</v>
      </c>
      <c r="M106" s="88">
        <f t="shared" si="55"/>
        <v>1200</v>
      </c>
      <c r="N106" s="89">
        <f t="shared" si="6"/>
        <v>1750</v>
      </c>
      <c r="O106" s="79" t="str">
        <f t="shared" si="56"/>
        <v/>
      </c>
    </row>
    <row r="107" spans="2:15" s="80" customFormat="1" x14ac:dyDescent="0.3">
      <c r="B107" s="39" t="s">
        <v>178</v>
      </c>
      <c r="C107" s="73" t="s">
        <v>13</v>
      </c>
      <c r="D107" s="137" t="str">
        <f t="shared" si="52"/>
        <v>University of Bucharest</v>
      </c>
      <c r="E107" s="137" t="str">
        <f t="shared" si="53"/>
        <v>Romania</v>
      </c>
      <c r="F107" s="84" t="s">
        <v>394</v>
      </c>
      <c r="G107" s="85" t="s">
        <v>226</v>
      </c>
      <c r="H107" s="86">
        <v>2</v>
      </c>
      <c r="I107" s="84" t="s">
        <v>401</v>
      </c>
      <c r="J107" s="84" t="s">
        <v>154</v>
      </c>
      <c r="K107" s="86">
        <v>5</v>
      </c>
      <c r="L107" s="87">
        <f t="shared" si="54"/>
        <v>550</v>
      </c>
      <c r="M107" s="88">
        <f t="shared" si="55"/>
        <v>1200</v>
      </c>
      <c r="N107" s="89">
        <f t="shared" si="6"/>
        <v>1750</v>
      </c>
      <c r="O107" s="79" t="str">
        <f t="shared" si="56"/>
        <v/>
      </c>
    </row>
    <row r="108" spans="2:15" s="80" customFormat="1" x14ac:dyDescent="0.3">
      <c r="B108" s="39" t="s">
        <v>178</v>
      </c>
      <c r="C108" s="73" t="s">
        <v>14</v>
      </c>
      <c r="D108" s="137" t="str">
        <f t="shared" si="52"/>
        <v>The University of Exeter</v>
      </c>
      <c r="E108" s="137" t="str">
        <f t="shared" si="53"/>
        <v>United Kingdom</v>
      </c>
      <c r="F108" s="84" t="s">
        <v>392</v>
      </c>
      <c r="G108" s="85" t="s">
        <v>226</v>
      </c>
      <c r="H108" s="86">
        <v>2</v>
      </c>
      <c r="I108" s="84" t="s">
        <v>390</v>
      </c>
      <c r="J108" s="84" t="s">
        <v>155</v>
      </c>
      <c r="K108" s="86">
        <v>5</v>
      </c>
      <c r="L108" s="87">
        <f t="shared" si="54"/>
        <v>720</v>
      </c>
      <c r="M108" s="88">
        <f t="shared" si="55"/>
        <v>1200</v>
      </c>
      <c r="N108" s="89">
        <f t="shared" si="6"/>
        <v>1920</v>
      </c>
      <c r="O108" s="79" t="str">
        <f t="shared" si="56"/>
        <v/>
      </c>
    </row>
    <row r="109" spans="2:15" s="80" customFormat="1" x14ac:dyDescent="0.3">
      <c r="B109" s="39" t="s">
        <v>178</v>
      </c>
      <c r="C109" s="73" t="s">
        <v>14</v>
      </c>
      <c r="D109" s="137" t="str">
        <f t="shared" si="52"/>
        <v>The University of Exeter</v>
      </c>
      <c r="E109" s="137" t="str">
        <f t="shared" si="53"/>
        <v>United Kingdom</v>
      </c>
      <c r="F109" s="84" t="s">
        <v>392</v>
      </c>
      <c r="G109" s="85" t="s">
        <v>226</v>
      </c>
      <c r="H109" s="86">
        <v>3</v>
      </c>
      <c r="I109" s="84" t="s">
        <v>389</v>
      </c>
      <c r="J109" s="84" t="s">
        <v>158</v>
      </c>
      <c r="K109" s="86">
        <v>5</v>
      </c>
      <c r="L109" s="87">
        <f t="shared" si="54"/>
        <v>1590</v>
      </c>
      <c r="M109" s="88">
        <f t="shared" si="55"/>
        <v>1800</v>
      </c>
      <c r="N109" s="89">
        <f t="shared" si="6"/>
        <v>3390</v>
      </c>
      <c r="O109" s="79" t="str">
        <f t="shared" si="56"/>
        <v/>
      </c>
    </row>
    <row r="110" spans="2:15" s="80" customFormat="1" x14ac:dyDescent="0.3">
      <c r="B110" s="39" t="s">
        <v>366</v>
      </c>
      <c r="C110" s="73" t="s">
        <v>14</v>
      </c>
      <c r="D110" s="137" t="str">
        <f t="shared" si="52"/>
        <v>The University of Exeter</v>
      </c>
      <c r="E110" s="137" t="str">
        <f t="shared" si="53"/>
        <v>United Kingdom</v>
      </c>
      <c r="F110" s="84" t="s">
        <v>392</v>
      </c>
      <c r="G110" s="85" t="s">
        <v>228</v>
      </c>
      <c r="H110" s="86">
        <v>2</v>
      </c>
      <c r="I110" s="84" t="s">
        <v>389</v>
      </c>
      <c r="J110" s="84" t="s">
        <v>158</v>
      </c>
      <c r="K110" s="86">
        <v>4</v>
      </c>
      <c r="L110" s="87">
        <f t="shared" si="54"/>
        <v>1060</v>
      </c>
      <c r="M110" s="88">
        <f t="shared" si="55"/>
        <v>440</v>
      </c>
      <c r="N110" s="89">
        <f t="shared" si="6"/>
        <v>1500</v>
      </c>
      <c r="O110" s="79" t="str">
        <f t="shared" si="56"/>
        <v/>
      </c>
    </row>
    <row r="111" spans="2:15" s="80" customFormat="1" x14ac:dyDescent="0.3">
      <c r="B111" s="39" t="s">
        <v>372</v>
      </c>
      <c r="C111" s="73" t="s">
        <v>14</v>
      </c>
      <c r="D111" s="137" t="str">
        <f t="shared" si="52"/>
        <v>The University of Exeter</v>
      </c>
      <c r="E111" s="137" t="str">
        <f t="shared" si="53"/>
        <v>United Kingdom</v>
      </c>
      <c r="F111" s="84" t="s">
        <v>392</v>
      </c>
      <c r="G111" s="85" t="s">
        <v>226</v>
      </c>
      <c r="H111" s="86">
        <v>1</v>
      </c>
      <c r="I111" s="84" t="s">
        <v>393</v>
      </c>
      <c r="J111" s="84" t="s">
        <v>155</v>
      </c>
      <c r="K111" s="86">
        <v>5</v>
      </c>
      <c r="L111" s="87">
        <f t="shared" si="54"/>
        <v>360</v>
      </c>
      <c r="M111" s="88">
        <f t="shared" si="55"/>
        <v>600</v>
      </c>
      <c r="N111" s="89">
        <f t="shared" si="6"/>
        <v>960</v>
      </c>
      <c r="O111" s="79" t="str">
        <f t="shared" si="56"/>
        <v/>
      </c>
    </row>
    <row r="112" spans="2:15" s="80" customFormat="1" x14ac:dyDescent="0.3">
      <c r="B112" s="39" t="s">
        <v>372</v>
      </c>
      <c r="C112" s="73" t="s">
        <v>14</v>
      </c>
      <c r="D112" s="137" t="str">
        <f t="shared" si="52"/>
        <v>The University of Exeter</v>
      </c>
      <c r="E112" s="137" t="str">
        <f t="shared" si="53"/>
        <v>United Kingdom</v>
      </c>
      <c r="F112" s="84" t="s">
        <v>392</v>
      </c>
      <c r="G112" s="85" t="s">
        <v>226</v>
      </c>
      <c r="H112" s="86">
        <v>2</v>
      </c>
      <c r="I112" s="84" t="s">
        <v>391</v>
      </c>
      <c r="J112" s="84" t="s">
        <v>154</v>
      </c>
      <c r="K112" s="86">
        <v>5</v>
      </c>
      <c r="L112" s="87">
        <f t="shared" si="54"/>
        <v>550</v>
      </c>
      <c r="M112" s="88">
        <f t="shared" si="55"/>
        <v>1200</v>
      </c>
      <c r="N112" s="89">
        <f t="shared" si="6"/>
        <v>1750</v>
      </c>
      <c r="O112" s="79" t="str">
        <f t="shared" si="56"/>
        <v/>
      </c>
    </row>
    <row r="113" spans="2:15" s="80" customFormat="1" x14ac:dyDescent="0.3">
      <c r="B113" s="39" t="s">
        <v>178</v>
      </c>
      <c r="C113" s="73" t="s">
        <v>14</v>
      </c>
      <c r="D113" s="137" t="str">
        <f t="shared" si="52"/>
        <v>The University of Exeter</v>
      </c>
      <c r="E113" s="137" t="str">
        <f t="shared" si="53"/>
        <v>United Kingdom</v>
      </c>
      <c r="F113" s="84" t="s">
        <v>392</v>
      </c>
      <c r="G113" s="85" t="s">
        <v>226</v>
      </c>
      <c r="H113" s="86">
        <v>3</v>
      </c>
      <c r="I113" s="84" t="s">
        <v>467</v>
      </c>
      <c r="J113" s="84" t="s">
        <v>329</v>
      </c>
      <c r="K113" s="86">
        <v>5</v>
      </c>
      <c r="L113" s="87">
        <f t="shared" si="54"/>
        <v>0</v>
      </c>
      <c r="M113" s="88">
        <f t="shared" si="55"/>
        <v>1800</v>
      </c>
      <c r="N113" s="89">
        <f t="shared" si="6"/>
        <v>1800</v>
      </c>
      <c r="O113" s="79" t="str">
        <f t="shared" si="56"/>
        <v/>
      </c>
    </row>
    <row r="114" spans="2:15" s="80" customFormat="1" x14ac:dyDescent="0.3">
      <c r="B114" s="39" t="s">
        <v>178</v>
      </c>
      <c r="C114" s="73" t="s">
        <v>14</v>
      </c>
      <c r="D114" s="137" t="str">
        <f t="shared" si="52"/>
        <v>The University of Exeter</v>
      </c>
      <c r="E114" s="137" t="str">
        <f t="shared" si="53"/>
        <v>United Kingdom</v>
      </c>
      <c r="F114" s="84" t="s">
        <v>392</v>
      </c>
      <c r="G114" s="85" t="s">
        <v>226</v>
      </c>
      <c r="H114" s="86">
        <v>3</v>
      </c>
      <c r="I114" s="84" t="s">
        <v>397</v>
      </c>
      <c r="J114" s="84" t="s">
        <v>158</v>
      </c>
      <c r="K114" s="86">
        <v>5</v>
      </c>
      <c r="L114" s="87">
        <f t="shared" si="54"/>
        <v>1590</v>
      </c>
      <c r="M114" s="88">
        <f t="shared" si="55"/>
        <v>1800</v>
      </c>
      <c r="N114" s="89">
        <f t="shared" si="6"/>
        <v>3390</v>
      </c>
      <c r="O114" s="79" t="str">
        <f t="shared" si="56"/>
        <v/>
      </c>
    </row>
    <row r="115" spans="2:15" s="80" customFormat="1" x14ac:dyDescent="0.3">
      <c r="B115" s="39" t="s">
        <v>366</v>
      </c>
      <c r="C115" s="73" t="s">
        <v>14</v>
      </c>
      <c r="D115" s="137" t="str">
        <f t="shared" si="52"/>
        <v>The University of Exeter</v>
      </c>
      <c r="E115" s="137" t="str">
        <f t="shared" si="53"/>
        <v>United Kingdom</v>
      </c>
      <c r="F115" s="84" t="s">
        <v>392</v>
      </c>
      <c r="G115" s="85" t="s">
        <v>228</v>
      </c>
      <c r="H115" s="86">
        <v>2</v>
      </c>
      <c r="I115" s="84" t="s">
        <v>397</v>
      </c>
      <c r="J115" s="84" t="s">
        <v>158</v>
      </c>
      <c r="K115" s="86">
        <v>4</v>
      </c>
      <c r="L115" s="87">
        <f t="shared" si="54"/>
        <v>1060</v>
      </c>
      <c r="M115" s="88">
        <f t="shared" si="55"/>
        <v>440</v>
      </c>
      <c r="N115" s="89">
        <f t="shared" si="6"/>
        <v>1500</v>
      </c>
      <c r="O115" s="79" t="str">
        <f t="shared" si="56"/>
        <v/>
      </c>
    </row>
    <row r="116" spans="2:15" s="80" customFormat="1" x14ac:dyDescent="0.3">
      <c r="B116" s="39" t="s">
        <v>372</v>
      </c>
      <c r="C116" s="73" t="s">
        <v>14</v>
      </c>
      <c r="D116" s="137" t="str">
        <f t="shared" si="52"/>
        <v>The University of Exeter</v>
      </c>
      <c r="E116" s="137" t="str">
        <f t="shared" si="53"/>
        <v>United Kingdom</v>
      </c>
      <c r="F116" s="84" t="s">
        <v>392</v>
      </c>
      <c r="G116" s="85" t="s">
        <v>226</v>
      </c>
      <c r="H116" s="86">
        <v>1</v>
      </c>
      <c r="I116" s="84" t="s">
        <v>399</v>
      </c>
      <c r="J116" s="84" t="s">
        <v>158</v>
      </c>
      <c r="K116" s="86">
        <v>5</v>
      </c>
      <c r="L116" s="87">
        <f t="shared" si="54"/>
        <v>530</v>
      </c>
      <c r="M116" s="88">
        <f t="shared" si="55"/>
        <v>600</v>
      </c>
      <c r="N116" s="89">
        <f t="shared" si="6"/>
        <v>1130</v>
      </c>
      <c r="O116" s="79" t="str">
        <f t="shared" si="56"/>
        <v/>
      </c>
    </row>
    <row r="117" spans="2:15" s="80" customFormat="1" x14ac:dyDescent="0.3">
      <c r="B117" s="39" t="s">
        <v>372</v>
      </c>
      <c r="C117" s="73" t="s">
        <v>14</v>
      </c>
      <c r="D117" s="137" t="str">
        <f t="shared" si="52"/>
        <v>The University of Exeter</v>
      </c>
      <c r="E117" s="137" t="str">
        <f t="shared" si="53"/>
        <v>United Kingdom</v>
      </c>
      <c r="F117" s="84" t="s">
        <v>392</v>
      </c>
      <c r="G117" s="85" t="s">
        <v>226</v>
      </c>
      <c r="H117" s="86">
        <v>2</v>
      </c>
      <c r="I117" s="95" t="s">
        <v>396</v>
      </c>
      <c r="J117" s="84" t="s">
        <v>155</v>
      </c>
      <c r="K117" s="86">
        <v>5</v>
      </c>
      <c r="L117" s="87">
        <f t="shared" si="54"/>
        <v>720</v>
      </c>
      <c r="M117" s="88">
        <f t="shared" si="55"/>
        <v>1200</v>
      </c>
      <c r="N117" s="89">
        <f t="shared" si="6"/>
        <v>1920</v>
      </c>
      <c r="O117" s="79" t="str">
        <f t="shared" si="56"/>
        <v/>
      </c>
    </row>
    <row r="118" spans="2:15" s="80" customFormat="1" x14ac:dyDescent="0.3">
      <c r="B118" s="39" t="s">
        <v>178</v>
      </c>
      <c r="C118" s="73" t="s">
        <v>14</v>
      </c>
      <c r="D118" s="137" t="str">
        <f t="shared" si="52"/>
        <v>The University of Exeter</v>
      </c>
      <c r="E118" s="137" t="str">
        <f t="shared" si="53"/>
        <v>United Kingdom</v>
      </c>
      <c r="F118" s="84" t="s">
        <v>392</v>
      </c>
      <c r="G118" s="85" t="s">
        <v>226</v>
      </c>
      <c r="H118" s="86">
        <v>2</v>
      </c>
      <c r="I118" s="84" t="s">
        <v>394</v>
      </c>
      <c r="J118" s="84" t="s">
        <v>155</v>
      </c>
      <c r="K118" s="86">
        <v>5</v>
      </c>
      <c r="L118" s="87">
        <f t="shared" si="54"/>
        <v>720</v>
      </c>
      <c r="M118" s="88">
        <f t="shared" si="55"/>
        <v>1200</v>
      </c>
      <c r="N118" s="89">
        <f t="shared" si="6"/>
        <v>1920</v>
      </c>
      <c r="O118" s="79" t="str">
        <f t="shared" si="56"/>
        <v/>
      </c>
    </row>
    <row r="119" spans="2:15" s="80" customFormat="1" x14ac:dyDescent="0.3">
      <c r="B119" s="39" t="s">
        <v>178</v>
      </c>
      <c r="C119" s="73" t="s">
        <v>14</v>
      </c>
      <c r="D119" s="137" t="str">
        <f t="shared" si="52"/>
        <v>The University of Exeter</v>
      </c>
      <c r="E119" s="137" t="str">
        <f t="shared" si="53"/>
        <v>United Kingdom</v>
      </c>
      <c r="F119" s="84" t="s">
        <v>392</v>
      </c>
      <c r="G119" s="85" t="s">
        <v>226</v>
      </c>
      <c r="H119" s="86">
        <v>3</v>
      </c>
      <c r="I119" s="84" t="s">
        <v>398</v>
      </c>
      <c r="J119" s="84" t="s">
        <v>158</v>
      </c>
      <c r="K119" s="86">
        <v>5</v>
      </c>
      <c r="L119" s="87">
        <f t="shared" si="54"/>
        <v>1590</v>
      </c>
      <c r="M119" s="88">
        <f t="shared" si="55"/>
        <v>1800</v>
      </c>
      <c r="N119" s="89">
        <f t="shared" si="6"/>
        <v>3390</v>
      </c>
      <c r="O119" s="79" t="str">
        <f t="shared" si="56"/>
        <v/>
      </c>
    </row>
    <row r="120" spans="2:15" s="80" customFormat="1" x14ac:dyDescent="0.3">
      <c r="B120" s="39" t="s">
        <v>366</v>
      </c>
      <c r="C120" s="73" t="s">
        <v>14</v>
      </c>
      <c r="D120" s="137" t="str">
        <f t="shared" si="52"/>
        <v>The University of Exeter</v>
      </c>
      <c r="E120" s="137" t="str">
        <f t="shared" si="53"/>
        <v>United Kingdom</v>
      </c>
      <c r="F120" s="84" t="s">
        <v>392</v>
      </c>
      <c r="G120" s="85" t="s">
        <v>228</v>
      </c>
      <c r="H120" s="86">
        <v>2</v>
      </c>
      <c r="I120" s="84" t="s">
        <v>398</v>
      </c>
      <c r="J120" s="84" t="s">
        <v>158</v>
      </c>
      <c r="K120" s="86">
        <v>4</v>
      </c>
      <c r="L120" s="87">
        <f t="shared" si="54"/>
        <v>1060</v>
      </c>
      <c r="M120" s="88">
        <f t="shared" si="55"/>
        <v>440</v>
      </c>
      <c r="N120" s="89">
        <f t="shared" si="6"/>
        <v>1500</v>
      </c>
      <c r="O120" s="79" t="str">
        <f t="shared" si="56"/>
        <v/>
      </c>
    </row>
    <row r="121" spans="2:15" s="80" customFormat="1" x14ac:dyDescent="0.3">
      <c r="B121" s="39" t="s">
        <v>372</v>
      </c>
      <c r="C121" s="73" t="s">
        <v>14</v>
      </c>
      <c r="D121" s="137" t="str">
        <f t="shared" si="52"/>
        <v>The University of Exeter</v>
      </c>
      <c r="E121" s="137" t="str">
        <f t="shared" si="53"/>
        <v>United Kingdom</v>
      </c>
      <c r="F121" s="84" t="s">
        <v>392</v>
      </c>
      <c r="G121" s="85" t="s">
        <v>226</v>
      </c>
      <c r="H121" s="86">
        <v>1</v>
      </c>
      <c r="I121" s="84" t="s">
        <v>391</v>
      </c>
      <c r="J121" s="84" t="s">
        <v>154</v>
      </c>
      <c r="K121" s="86">
        <v>5</v>
      </c>
      <c r="L121" s="87">
        <f t="shared" si="54"/>
        <v>275</v>
      </c>
      <c r="M121" s="88">
        <f t="shared" si="55"/>
        <v>600</v>
      </c>
      <c r="N121" s="89">
        <f t="shared" si="6"/>
        <v>875</v>
      </c>
      <c r="O121" s="79" t="str">
        <f t="shared" si="56"/>
        <v/>
      </c>
    </row>
    <row r="122" spans="2:15" s="80" customFormat="1" x14ac:dyDescent="0.3">
      <c r="B122" s="39" t="s">
        <v>372</v>
      </c>
      <c r="C122" s="73" t="s">
        <v>14</v>
      </c>
      <c r="D122" s="137" t="str">
        <f t="shared" si="52"/>
        <v>The University of Exeter</v>
      </c>
      <c r="E122" s="137" t="str">
        <f t="shared" si="53"/>
        <v>United Kingdom</v>
      </c>
      <c r="F122" s="84" t="s">
        <v>392</v>
      </c>
      <c r="G122" s="85" t="s">
        <v>226</v>
      </c>
      <c r="H122" s="86">
        <v>1</v>
      </c>
      <c r="I122" s="84" t="s">
        <v>393</v>
      </c>
      <c r="J122" s="84" t="s">
        <v>155</v>
      </c>
      <c r="K122" s="86">
        <v>5</v>
      </c>
      <c r="L122" s="87">
        <f t="shared" si="54"/>
        <v>360</v>
      </c>
      <c r="M122" s="88">
        <f t="shared" si="55"/>
        <v>600</v>
      </c>
      <c r="N122" s="89">
        <f t="shared" si="6"/>
        <v>960</v>
      </c>
      <c r="O122" s="79" t="str">
        <f t="shared" si="56"/>
        <v/>
      </c>
    </row>
    <row r="123" spans="2:15" s="80" customFormat="1" x14ac:dyDescent="0.3">
      <c r="B123" s="39" t="s">
        <v>178</v>
      </c>
      <c r="C123" s="73" t="s">
        <v>14</v>
      </c>
      <c r="D123" s="137" t="str">
        <f t="shared" si="52"/>
        <v>The University of Exeter</v>
      </c>
      <c r="E123" s="137" t="str">
        <f t="shared" si="53"/>
        <v>United Kingdom</v>
      </c>
      <c r="F123" s="84" t="s">
        <v>392</v>
      </c>
      <c r="G123" s="85" t="s">
        <v>226</v>
      </c>
      <c r="H123" s="86">
        <v>2</v>
      </c>
      <c r="I123" s="84" t="s">
        <v>401</v>
      </c>
      <c r="J123" s="84" t="s">
        <v>154</v>
      </c>
      <c r="K123" s="86">
        <v>5</v>
      </c>
      <c r="L123" s="87">
        <f t="shared" si="54"/>
        <v>550</v>
      </c>
      <c r="M123" s="88">
        <f t="shared" si="55"/>
        <v>1200</v>
      </c>
      <c r="N123" s="89">
        <f t="shared" si="6"/>
        <v>1750</v>
      </c>
      <c r="O123" s="79" t="str">
        <f t="shared" si="56"/>
        <v/>
      </c>
    </row>
    <row r="124" spans="2:15" s="80" customFormat="1" x14ac:dyDescent="0.3">
      <c r="B124" s="39" t="s">
        <v>178</v>
      </c>
      <c r="C124" s="73" t="s">
        <v>15</v>
      </c>
      <c r="D124" s="137" t="str">
        <f t="shared" si="52"/>
        <v>Tallinn University</v>
      </c>
      <c r="E124" s="137" t="str">
        <f t="shared" si="53"/>
        <v>Estonia</v>
      </c>
      <c r="F124" s="84" t="s">
        <v>390</v>
      </c>
      <c r="G124" s="85" t="s">
        <v>226</v>
      </c>
      <c r="H124" s="86">
        <v>3</v>
      </c>
      <c r="I124" s="84" t="s">
        <v>468</v>
      </c>
      <c r="J124" s="84" t="s">
        <v>329</v>
      </c>
      <c r="K124" s="86">
        <v>5</v>
      </c>
      <c r="L124" s="87">
        <f t="shared" si="54"/>
        <v>0</v>
      </c>
      <c r="M124" s="88">
        <f t="shared" si="55"/>
        <v>1800</v>
      </c>
      <c r="N124" s="89">
        <f t="shared" si="6"/>
        <v>1800</v>
      </c>
      <c r="O124" s="79" t="str">
        <f t="shared" si="56"/>
        <v/>
      </c>
    </row>
    <row r="125" spans="2:15" s="80" customFormat="1" x14ac:dyDescent="0.3">
      <c r="B125" s="39" t="s">
        <v>178</v>
      </c>
      <c r="C125" s="73" t="s">
        <v>15</v>
      </c>
      <c r="D125" s="137" t="str">
        <f t="shared" si="52"/>
        <v>Tallinn University</v>
      </c>
      <c r="E125" s="137" t="str">
        <f t="shared" si="53"/>
        <v>Estonia</v>
      </c>
      <c r="F125" s="84" t="s">
        <v>390</v>
      </c>
      <c r="G125" s="85" t="s">
        <v>228</v>
      </c>
      <c r="H125" s="86">
        <v>2</v>
      </c>
      <c r="I125" s="84" t="s">
        <v>468</v>
      </c>
      <c r="J125" s="84" t="s">
        <v>329</v>
      </c>
      <c r="K125" s="86">
        <v>14</v>
      </c>
      <c r="L125" s="87">
        <f t="shared" si="54"/>
        <v>0</v>
      </c>
      <c r="M125" s="88">
        <f t="shared" si="55"/>
        <v>1540</v>
      </c>
      <c r="N125" s="89">
        <f t="shared" si="6"/>
        <v>1540</v>
      </c>
      <c r="O125" s="79" t="str">
        <f t="shared" si="56"/>
        <v/>
      </c>
    </row>
    <row r="126" spans="2:15" s="80" customFormat="1" x14ac:dyDescent="0.3">
      <c r="B126" s="39" t="s">
        <v>178</v>
      </c>
      <c r="C126" s="73" t="s">
        <v>15</v>
      </c>
      <c r="D126" s="137" t="str">
        <f t="shared" si="52"/>
        <v>Tallinn University</v>
      </c>
      <c r="E126" s="137" t="str">
        <f t="shared" si="53"/>
        <v>Estonia</v>
      </c>
      <c r="F126" s="84" t="s">
        <v>390</v>
      </c>
      <c r="G126" s="85" t="s">
        <v>226</v>
      </c>
      <c r="H126" s="86">
        <v>3</v>
      </c>
      <c r="I126" s="84" t="s">
        <v>389</v>
      </c>
      <c r="J126" s="84" t="s">
        <v>158</v>
      </c>
      <c r="K126" s="86">
        <v>5</v>
      </c>
      <c r="L126" s="87">
        <f t="shared" si="54"/>
        <v>1590</v>
      </c>
      <c r="M126" s="88">
        <f t="shared" si="55"/>
        <v>1800</v>
      </c>
      <c r="N126" s="89">
        <f t="shared" si="6"/>
        <v>3390</v>
      </c>
      <c r="O126" s="79" t="str">
        <f t="shared" si="56"/>
        <v/>
      </c>
    </row>
    <row r="127" spans="2:15" s="80" customFormat="1" x14ac:dyDescent="0.3">
      <c r="B127" s="39" t="s">
        <v>366</v>
      </c>
      <c r="C127" s="73" t="s">
        <v>15</v>
      </c>
      <c r="D127" s="137" t="str">
        <f t="shared" si="52"/>
        <v>Tallinn University</v>
      </c>
      <c r="E127" s="137" t="str">
        <f t="shared" si="53"/>
        <v>Estonia</v>
      </c>
      <c r="F127" s="84" t="s">
        <v>390</v>
      </c>
      <c r="G127" s="85" t="s">
        <v>228</v>
      </c>
      <c r="H127" s="86">
        <v>1</v>
      </c>
      <c r="I127" s="84" t="s">
        <v>389</v>
      </c>
      <c r="J127" s="84" t="s">
        <v>158</v>
      </c>
      <c r="K127" s="86">
        <v>4</v>
      </c>
      <c r="L127" s="87">
        <f t="shared" si="54"/>
        <v>530</v>
      </c>
      <c r="M127" s="88">
        <f t="shared" si="55"/>
        <v>220</v>
      </c>
      <c r="N127" s="89">
        <f t="shared" si="6"/>
        <v>750</v>
      </c>
      <c r="O127" s="79" t="str">
        <f t="shared" si="56"/>
        <v/>
      </c>
    </row>
    <row r="128" spans="2:15" s="80" customFormat="1" x14ac:dyDescent="0.3">
      <c r="B128" s="39" t="s">
        <v>372</v>
      </c>
      <c r="C128" s="73" t="s">
        <v>15</v>
      </c>
      <c r="D128" s="137" t="str">
        <f t="shared" si="52"/>
        <v>Tallinn University</v>
      </c>
      <c r="E128" s="137" t="str">
        <f t="shared" si="53"/>
        <v>Estonia</v>
      </c>
      <c r="F128" s="84" t="s">
        <v>390</v>
      </c>
      <c r="G128" s="85" t="s">
        <v>226</v>
      </c>
      <c r="H128" s="86">
        <v>1</v>
      </c>
      <c r="I128" s="84" t="s">
        <v>391</v>
      </c>
      <c r="J128" s="84" t="s">
        <v>154</v>
      </c>
      <c r="K128" s="86">
        <v>5</v>
      </c>
      <c r="L128" s="87">
        <f t="shared" si="54"/>
        <v>275</v>
      </c>
      <c r="M128" s="88">
        <f t="shared" si="55"/>
        <v>600</v>
      </c>
      <c r="N128" s="89">
        <f t="shared" si="6"/>
        <v>875</v>
      </c>
      <c r="O128" s="79" t="str">
        <f t="shared" si="56"/>
        <v/>
      </c>
    </row>
    <row r="129" spans="2:15" s="80" customFormat="1" x14ac:dyDescent="0.3">
      <c r="B129" s="39" t="s">
        <v>372</v>
      </c>
      <c r="C129" s="73" t="s">
        <v>15</v>
      </c>
      <c r="D129" s="137" t="str">
        <f t="shared" si="52"/>
        <v>Tallinn University</v>
      </c>
      <c r="E129" s="137" t="str">
        <f t="shared" si="53"/>
        <v>Estonia</v>
      </c>
      <c r="F129" s="84" t="s">
        <v>390</v>
      </c>
      <c r="G129" s="85" t="s">
        <v>226</v>
      </c>
      <c r="H129" s="86">
        <v>1</v>
      </c>
      <c r="I129" s="84" t="s">
        <v>399</v>
      </c>
      <c r="J129" s="84" t="s">
        <v>158</v>
      </c>
      <c r="K129" s="86">
        <v>5</v>
      </c>
      <c r="L129" s="87">
        <f t="shared" si="54"/>
        <v>530</v>
      </c>
      <c r="M129" s="88">
        <f t="shared" si="55"/>
        <v>600</v>
      </c>
      <c r="N129" s="89">
        <f t="shared" si="6"/>
        <v>1130</v>
      </c>
      <c r="O129" s="79" t="str">
        <f t="shared" si="56"/>
        <v/>
      </c>
    </row>
    <row r="130" spans="2:15" s="80" customFormat="1" x14ac:dyDescent="0.3">
      <c r="B130" s="39" t="s">
        <v>178</v>
      </c>
      <c r="C130" s="73" t="s">
        <v>15</v>
      </c>
      <c r="D130" s="137" t="str">
        <f t="shared" si="52"/>
        <v>Tallinn University</v>
      </c>
      <c r="E130" s="137" t="str">
        <f t="shared" si="53"/>
        <v>Estonia</v>
      </c>
      <c r="F130" s="84" t="s">
        <v>390</v>
      </c>
      <c r="G130" s="85" t="s">
        <v>226</v>
      </c>
      <c r="H130" s="86">
        <v>2</v>
      </c>
      <c r="I130" s="84" t="s">
        <v>392</v>
      </c>
      <c r="J130" s="84" t="s">
        <v>155</v>
      </c>
      <c r="K130" s="86">
        <v>5</v>
      </c>
      <c r="L130" s="87">
        <f t="shared" si="54"/>
        <v>720</v>
      </c>
      <c r="M130" s="88">
        <f t="shared" si="55"/>
        <v>1200</v>
      </c>
      <c r="N130" s="89">
        <f t="shared" si="6"/>
        <v>1920</v>
      </c>
      <c r="O130" s="79" t="str">
        <f t="shared" si="56"/>
        <v/>
      </c>
    </row>
    <row r="131" spans="2:15" s="80" customFormat="1" x14ac:dyDescent="0.3">
      <c r="B131" s="39" t="s">
        <v>178</v>
      </c>
      <c r="C131" s="73" t="s">
        <v>15</v>
      </c>
      <c r="D131" s="137" t="str">
        <f t="shared" si="52"/>
        <v>Tallinn University</v>
      </c>
      <c r="E131" s="137" t="str">
        <f t="shared" si="53"/>
        <v>Estonia</v>
      </c>
      <c r="F131" s="84" t="s">
        <v>390</v>
      </c>
      <c r="G131" s="85" t="s">
        <v>226</v>
      </c>
      <c r="H131" s="86">
        <v>3</v>
      </c>
      <c r="I131" s="84" t="s">
        <v>397</v>
      </c>
      <c r="J131" s="84" t="s">
        <v>158</v>
      </c>
      <c r="K131" s="86">
        <v>5</v>
      </c>
      <c r="L131" s="87">
        <f t="shared" si="54"/>
        <v>1590</v>
      </c>
      <c r="M131" s="88">
        <f t="shared" si="55"/>
        <v>1800</v>
      </c>
      <c r="N131" s="89">
        <f t="shared" si="6"/>
        <v>3390</v>
      </c>
      <c r="O131" s="79" t="str">
        <f t="shared" si="56"/>
        <v/>
      </c>
    </row>
    <row r="132" spans="2:15" s="80" customFormat="1" x14ac:dyDescent="0.3">
      <c r="B132" s="39" t="s">
        <v>366</v>
      </c>
      <c r="C132" s="73" t="s">
        <v>15</v>
      </c>
      <c r="D132" s="137" t="str">
        <f t="shared" si="52"/>
        <v>Tallinn University</v>
      </c>
      <c r="E132" s="137" t="str">
        <f t="shared" si="53"/>
        <v>Estonia</v>
      </c>
      <c r="F132" s="84" t="s">
        <v>390</v>
      </c>
      <c r="G132" s="85" t="s">
        <v>228</v>
      </c>
      <c r="H132" s="86">
        <v>1</v>
      </c>
      <c r="I132" s="84" t="s">
        <v>397</v>
      </c>
      <c r="J132" s="84" t="s">
        <v>158</v>
      </c>
      <c r="K132" s="86">
        <v>4</v>
      </c>
      <c r="L132" s="87">
        <f t="shared" si="54"/>
        <v>530</v>
      </c>
      <c r="M132" s="88">
        <f t="shared" si="55"/>
        <v>220</v>
      </c>
      <c r="N132" s="89">
        <f t="shared" si="6"/>
        <v>750</v>
      </c>
      <c r="O132" s="79" t="str">
        <f t="shared" si="56"/>
        <v/>
      </c>
    </row>
    <row r="133" spans="2:15" s="80" customFormat="1" x14ac:dyDescent="0.3">
      <c r="B133" s="39" t="s">
        <v>372</v>
      </c>
      <c r="C133" s="73" t="s">
        <v>15</v>
      </c>
      <c r="D133" s="137" t="str">
        <f t="shared" si="52"/>
        <v>Tallinn University</v>
      </c>
      <c r="E133" s="137" t="str">
        <f t="shared" si="53"/>
        <v>Estonia</v>
      </c>
      <c r="F133" s="84" t="s">
        <v>390</v>
      </c>
      <c r="G133" s="85" t="s">
        <v>226</v>
      </c>
      <c r="H133" s="86">
        <v>1</v>
      </c>
      <c r="I133" s="84" t="s">
        <v>395</v>
      </c>
      <c r="J133" s="84" t="s">
        <v>155</v>
      </c>
      <c r="K133" s="86">
        <v>5</v>
      </c>
      <c r="L133" s="87">
        <f t="shared" si="54"/>
        <v>360</v>
      </c>
      <c r="M133" s="88">
        <f t="shared" si="55"/>
        <v>600</v>
      </c>
      <c r="N133" s="89">
        <f t="shared" si="6"/>
        <v>960</v>
      </c>
      <c r="O133" s="79" t="str">
        <f t="shared" si="56"/>
        <v/>
      </c>
    </row>
    <row r="134" spans="2:15" s="80" customFormat="1" x14ac:dyDescent="0.3">
      <c r="B134" s="39" t="s">
        <v>372</v>
      </c>
      <c r="C134" s="73" t="s">
        <v>15</v>
      </c>
      <c r="D134" s="137" t="str">
        <f t="shared" si="52"/>
        <v>Tallinn University</v>
      </c>
      <c r="E134" s="137" t="str">
        <f t="shared" si="53"/>
        <v>Estonia</v>
      </c>
      <c r="F134" s="84" t="s">
        <v>390</v>
      </c>
      <c r="G134" s="85" t="s">
        <v>226</v>
      </c>
      <c r="H134" s="86">
        <v>2</v>
      </c>
      <c r="I134" s="95" t="s">
        <v>396</v>
      </c>
      <c r="J134" s="84" t="s">
        <v>154</v>
      </c>
      <c r="K134" s="86">
        <v>5</v>
      </c>
      <c r="L134" s="87">
        <f t="shared" si="54"/>
        <v>550</v>
      </c>
      <c r="M134" s="88">
        <f t="shared" si="55"/>
        <v>1200</v>
      </c>
      <c r="N134" s="89">
        <f t="shared" si="6"/>
        <v>1750</v>
      </c>
      <c r="O134" s="79" t="str">
        <f t="shared" si="56"/>
        <v/>
      </c>
    </row>
    <row r="135" spans="2:15" s="80" customFormat="1" x14ac:dyDescent="0.3">
      <c r="B135" s="39" t="s">
        <v>178</v>
      </c>
      <c r="C135" s="73" t="s">
        <v>15</v>
      </c>
      <c r="D135" s="137" t="str">
        <f t="shared" si="52"/>
        <v>Tallinn University</v>
      </c>
      <c r="E135" s="137" t="str">
        <f t="shared" si="53"/>
        <v>Estonia</v>
      </c>
      <c r="F135" s="84" t="s">
        <v>390</v>
      </c>
      <c r="G135" s="85" t="s">
        <v>226</v>
      </c>
      <c r="H135" s="86">
        <v>2</v>
      </c>
      <c r="I135" s="84" t="s">
        <v>394</v>
      </c>
      <c r="J135" s="84" t="s">
        <v>154</v>
      </c>
      <c r="K135" s="86">
        <v>5</v>
      </c>
      <c r="L135" s="87">
        <f t="shared" si="54"/>
        <v>550</v>
      </c>
      <c r="M135" s="88">
        <f t="shared" si="55"/>
        <v>1200</v>
      </c>
      <c r="N135" s="89">
        <f t="shared" si="6"/>
        <v>1750</v>
      </c>
      <c r="O135" s="79" t="str">
        <f t="shared" si="56"/>
        <v/>
      </c>
    </row>
    <row r="136" spans="2:15" s="80" customFormat="1" x14ac:dyDescent="0.3">
      <c r="B136" s="39" t="s">
        <v>178</v>
      </c>
      <c r="C136" s="73" t="s">
        <v>15</v>
      </c>
      <c r="D136" s="137" t="str">
        <f t="shared" si="52"/>
        <v>Tallinn University</v>
      </c>
      <c r="E136" s="137" t="str">
        <f t="shared" si="53"/>
        <v>Estonia</v>
      </c>
      <c r="F136" s="84" t="s">
        <v>390</v>
      </c>
      <c r="G136" s="85" t="s">
        <v>226</v>
      </c>
      <c r="H136" s="86">
        <v>2</v>
      </c>
      <c r="I136" s="84" t="s">
        <v>398</v>
      </c>
      <c r="J136" s="84" t="s">
        <v>158</v>
      </c>
      <c r="K136" s="86">
        <v>5</v>
      </c>
      <c r="L136" s="87">
        <f t="shared" si="54"/>
        <v>1060</v>
      </c>
      <c r="M136" s="88">
        <f t="shared" si="55"/>
        <v>1200</v>
      </c>
      <c r="N136" s="89">
        <f t="shared" si="6"/>
        <v>2260</v>
      </c>
      <c r="O136" s="79" t="str">
        <f t="shared" si="56"/>
        <v/>
      </c>
    </row>
    <row r="137" spans="2:15" s="80" customFormat="1" x14ac:dyDescent="0.3">
      <c r="B137" s="39" t="s">
        <v>366</v>
      </c>
      <c r="C137" s="73" t="s">
        <v>15</v>
      </c>
      <c r="D137" s="137" t="str">
        <f t="shared" si="52"/>
        <v>Tallinn University</v>
      </c>
      <c r="E137" s="137" t="str">
        <f t="shared" si="53"/>
        <v>Estonia</v>
      </c>
      <c r="F137" s="84" t="s">
        <v>390</v>
      </c>
      <c r="G137" s="85" t="s">
        <v>228</v>
      </c>
      <c r="H137" s="86">
        <v>1</v>
      </c>
      <c r="I137" s="84" t="s">
        <v>398</v>
      </c>
      <c r="J137" s="84" t="s">
        <v>158</v>
      </c>
      <c r="K137" s="86">
        <v>4</v>
      </c>
      <c r="L137" s="87">
        <f t="shared" si="54"/>
        <v>530</v>
      </c>
      <c r="M137" s="88">
        <f t="shared" si="55"/>
        <v>220</v>
      </c>
      <c r="N137" s="89">
        <f t="shared" si="6"/>
        <v>750</v>
      </c>
      <c r="O137" s="79" t="str">
        <f t="shared" si="56"/>
        <v/>
      </c>
    </row>
    <row r="138" spans="2:15" s="80" customFormat="1" x14ac:dyDescent="0.3">
      <c r="B138" s="39" t="s">
        <v>372</v>
      </c>
      <c r="C138" s="73" t="s">
        <v>15</v>
      </c>
      <c r="D138" s="137" t="str">
        <f t="shared" si="52"/>
        <v>Tallinn University</v>
      </c>
      <c r="E138" s="137" t="str">
        <f t="shared" si="53"/>
        <v>Estonia</v>
      </c>
      <c r="F138" s="84" t="s">
        <v>390</v>
      </c>
      <c r="G138" s="85" t="s">
        <v>226</v>
      </c>
      <c r="H138" s="86">
        <v>1</v>
      </c>
      <c r="I138" s="84" t="s">
        <v>399</v>
      </c>
      <c r="J138" s="84" t="s">
        <v>158</v>
      </c>
      <c r="K138" s="86">
        <v>5</v>
      </c>
      <c r="L138" s="87">
        <f t="shared" si="54"/>
        <v>530</v>
      </c>
      <c r="M138" s="88">
        <f t="shared" si="55"/>
        <v>600</v>
      </c>
      <c r="N138" s="89">
        <f t="shared" si="6"/>
        <v>1130</v>
      </c>
      <c r="O138" s="79" t="str">
        <f t="shared" si="56"/>
        <v/>
      </c>
    </row>
    <row r="139" spans="2:15" s="80" customFormat="1" x14ac:dyDescent="0.3">
      <c r="B139" s="39" t="s">
        <v>372</v>
      </c>
      <c r="C139" s="73" t="s">
        <v>15</v>
      </c>
      <c r="D139" s="137" t="str">
        <f t="shared" si="52"/>
        <v>Tallinn University</v>
      </c>
      <c r="E139" s="137" t="str">
        <f t="shared" si="53"/>
        <v>Estonia</v>
      </c>
      <c r="F139" s="84" t="s">
        <v>390</v>
      </c>
      <c r="G139" s="85" t="s">
        <v>226</v>
      </c>
      <c r="H139" s="86">
        <v>2</v>
      </c>
      <c r="I139" s="84" t="s">
        <v>391</v>
      </c>
      <c r="J139" s="84" t="s">
        <v>154</v>
      </c>
      <c r="K139" s="86">
        <v>5</v>
      </c>
      <c r="L139" s="87">
        <f t="shared" si="54"/>
        <v>550</v>
      </c>
      <c r="M139" s="88">
        <f t="shared" si="55"/>
        <v>1200</v>
      </c>
      <c r="N139" s="89">
        <f t="shared" si="6"/>
        <v>1750</v>
      </c>
      <c r="O139" s="79" t="str">
        <f t="shared" si="56"/>
        <v/>
      </c>
    </row>
    <row r="140" spans="2:15" s="80" customFormat="1" x14ac:dyDescent="0.3">
      <c r="B140" s="39" t="s">
        <v>178</v>
      </c>
      <c r="C140" s="73" t="s">
        <v>15</v>
      </c>
      <c r="D140" s="137" t="str">
        <f t="shared" si="52"/>
        <v>Tallinn University</v>
      </c>
      <c r="E140" s="137" t="str">
        <f t="shared" si="53"/>
        <v>Estonia</v>
      </c>
      <c r="F140" s="84" t="s">
        <v>390</v>
      </c>
      <c r="G140" s="85" t="s">
        <v>226</v>
      </c>
      <c r="H140" s="86">
        <v>2</v>
      </c>
      <c r="I140" s="84" t="s">
        <v>401</v>
      </c>
      <c r="J140" s="84" t="s">
        <v>154</v>
      </c>
      <c r="K140" s="86">
        <v>5</v>
      </c>
      <c r="L140" s="87">
        <f t="shared" si="54"/>
        <v>550</v>
      </c>
      <c r="M140" s="88">
        <f t="shared" si="55"/>
        <v>1200</v>
      </c>
      <c r="N140" s="89">
        <f t="shared" si="6"/>
        <v>1750</v>
      </c>
      <c r="O140" s="79" t="str">
        <f t="shared" si="56"/>
        <v/>
      </c>
    </row>
    <row r="141" spans="2:15" s="80" customFormat="1" x14ac:dyDescent="0.3">
      <c r="B141" s="39" t="s">
        <v>178</v>
      </c>
      <c r="C141" s="73" t="s">
        <v>16</v>
      </c>
      <c r="D141" s="137" t="str">
        <f t="shared" si="52"/>
        <v>Gordon Academic College of Education</v>
      </c>
      <c r="E141" s="137" t="str">
        <f t="shared" si="53"/>
        <v>Israel</v>
      </c>
      <c r="F141" s="84" t="s">
        <v>400</v>
      </c>
      <c r="G141" s="85" t="s">
        <v>226</v>
      </c>
      <c r="H141" s="86">
        <v>2</v>
      </c>
      <c r="I141" s="84" t="s">
        <v>390</v>
      </c>
      <c r="J141" s="84" t="s">
        <v>158</v>
      </c>
      <c r="K141" s="86">
        <v>5</v>
      </c>
      <c r="L141" s="87">
        <f t="shared" si="54"/>
        <v>1060</v>
      </c>
      <c r="M141" s="88">
        <f t="shared" si="55"/>
        <v>1200</v>
      </c>
      <c r="N141" s="89">
        <f t="shared" si="6"/>
        <v>2260</v>
      </c>
      <c r="O141" s="79" t="str">
        <f t="shared" si="56"/>
        <v/>
      </c>
    </row>
    <row r="142" spans="2:15" s="80" customFormat="1" x14ac:dyDescent="0.3">
      <c r="B142" s="39" t="s">
        <v>178</v>
      </c>
      <c r="C142" s="73" t="s">
        <v>16</v>
      </c>
      <c r="D142" s="137" t="str">
        <f t="shared" si="52"/>
        <v>Gordon Academic College of Education</v>
      </c>
      <c r="E142" s="137" t="str">
        <f t="shared" si="53"/>
        <v>Israel</v>
      </c>
      <c r="F142" s="84" t="s">
        <v>400</v>
      </c>
      <c r="G142" s="85" t="s">
        <v>228</v>
      </c>
      <c r="H142" s="86">
        <v>2</v>
      </c>
      <c r="I142" s="84" t="s">
        <v>390</v>
      </c>
      <c r="J142" s="84" t="s">
        <v>158</v>
      </c>
      <c r="K142" s="86">
        <v>14</v>
      </c>
      <c r="L142" s="87">
        <f t="shared" si="54"/>
        <v>1060</v>
      </c>
      <c r="M142" s="88">
        <f t="shared" si="55"/>
        <v>1540</v>
      </c>
      <c r="N142" s="89">
        <f t="shared" si="6"/>
        <v>2600</v>
      </c>
      <c r="O142" s="79" t="str">
        <f t="shared" si="56"/>
        <v/>
      </c>
    </row>
    <row r="143" spans="2:15" s="80" customFormat="1" x14ac:dyDescent="0.3">
      <c r="B143" s="39" t="s">
        <v>178</v>
      </c>
      <c r="C143" s="73" t="s">
        <v>16</v>
      </c>
      <c r="D143" s="137" t="str">
        <f t="shared" si="52"/>
        <v>Gordon Academic College of Education</v>
      </c>
      <c r="E143" s="137" t="str">
        <f t="shared" si="53"/>
        <v>Israel</v>
      </c>
      <c r="F143" s="84" t="s">
        <v>400</v>
      </c>
      <c r="G143" s="85" t="s">
        <v>226</v>
      </c>
      <c r="H143" s="86">
        <v>2</v>
      </c>
      <c r="I143" s="84" t="s">
        <v>465</v>
      </c>
      <c r="J143" s="84" t="s">
        <v>329</v>
      </c>
      <c r="K143" s="86">
        <v>5</v>
      </c>
      <c r="L143" s="87">
        <f t="shared" si="54"/>
        <v>0</v>
      </c>
      <c r="M143" s="88">
        <f t="shared" si="55"/>
        <v>1200</v>
      </c>
      <c r="N143" s="89">
        <f t="shared" si="6"/>
        <v>1200</v>
      </c>
      <c r="O143" s="79" t="str">
        <f t="shared" si="56"/>
        <v/>
      </c>
    </row>
    <row r="144" spans="2:15" s="80" customFormat="1" x14ac:dyDescent="0.3">
      <c r="B144" s="39" t="s">
        <v>178</v>
      </c>
      <c r="C144" s="73" t="s">
        <v>16</v>
      </c>
      <c r="D144" s="137" t="str">
        <f t="shared" si="52"/>
        <v>Gordon Academic College of Education</v>
      </c>
      <c r="E144" s="137" t="str">
        <f t="shared" si="53"/>
        <v>Israel</v>
      </c>
      <c r="F144" s="84" t="s">
        <v>400</v>
      </c>
      <c r="G144" s="85" t="s">
        <v>228</v>
      </c>
      <c r="H144" s="86">
        <v>2</v>
      </c>
      <c r="I144" s="84" t="s">
        <v>465</v>
      </c>
      <c r="J144" s="84" t="s">
        <v>329</v>
      </c>
      <c r="K144" s="86">
        <v>4</v>
      </c>
      <c r="L144" s="87">
        <f t="shared" si="54"/>
        <v>0</v>
      </c>
      <c r="M144" s="88">
        <f t="shared" si="55"/>
        <v>440</v>
      </c>
      <c r="N144" s="89">
        <f t="shared" si="6"/>
        <v>440</v>
      </c>
      <c r="O144" s="79" t="str">
        <f t="shared" si="56"/>
        <v/>
      </c>
    </row>
    <row r="145" spans="2:15" s="80" customFormat="1" x14ac:dyDescent="0.3">
      <c r="B145" s="39" t="s">
        <v>372</v>
      </c>
      <c r="C145" s="73" t="s">
        <v>16</v>
      </c>
      <c r="D145" s="137" t="str">
        <f t="shared" si="52"/>
        <v>Gordon Academic College of Education</v>
      </c>
      <c r="E145" s="137" t="str">
        <f t="shared" si="53"/>
        <v>Israel</v>
      </c>
      <c r="F145" s="84" t="s">
        <v>400</v>
      </c>
      <c r="G145" s="85" t="s">
        <v>226</v>
      </c>
      <c r="H145" s="86">
        <v>1</v>
      </c>
      <c r="I145" s="84" t="s">
        <v>391</v>
      </c>
      <c r="J145" s="84" t="s">
        <v>155</v>
      </c>
      <c r="K145" s="86">
        <v>5</v>
      </c>
      <c r="L145" s="87">
        <f t="shared" si="54"/>
        <v>360</v>
      </c>
      <c r="M145" s="88">
        <f t="shared" si="55"/>
        <v>600</v>
      </c>
      <c r="N145" s="89">
        <f t="shared" si="6"/>
        <v>960</v>
      </c>
      <c r="O145" s="79" t="str">
        <f t="shared" si="56"/>
        <v/>
      </c>
    </row>
    <row r="146" spans="2:15" s="80" customFormat="1" x14ac:dyDescent="0.3">
      <c r="B146" s="39" t="s">
        <v>372</v>
      </c>
      <c r="C146" s="73" t="s">
        <v>16</v>
      </c>
      <c r="D146" s="137" t="str">
        <f t="shared" si="52"/>
        <v>Gordon Academic College of Education</v>
      </c>
      <c r="E146" s="137" t="str">
        <f t="shared" si="53"/>
        <v>Israel</v>
      </c>
      <c r="F146" s="84" t="s">
        <v>400</v>
      </c>
      <c r="G146" s="85" t="s">
        <v>226</v>
      </c>
      <c r="H146" s="86">
        <v>1</v>
      </c>
      <c r="I146" s="84" t="s">
        <v>396</v>
      </c>
      <c r="J146" s="84" t="s">
        <v>154</v>
      </c>
      <c r="K146" s="86">
        <v>5</v>
      </c>
      <c r="L146" s="87">
        <f t="shared" si="54"/>
        <v>275</v>
      </c>
      <c r="M146" s="88">
        <f t="shared" si="55"/>
        <v>600</v>
      </c>
      <c r="N146" s="89">
        <f t="shared" si="6"/>
        <v>875</v>
      </c>
      <c r="O146" s="79" t="str">
        <f t="shared" si="56"/>
        <v/>
      </c>
    </row>
    <row r="147" spans="2:15" s="80" customFormat="1" x14ac:dyDescent="0.3">
      <c r="B147" s="39" t="s">
        <v>178</v>
      </c>
      <c r="C147" s="73" t="s">
        <v>16</v>
      </c>
      <c r="D147" s="137" t="str">
        <f t="shared" ref="D147:D187" si="57">IFERROR(IF(VLOOKUP(C147,PartnerN°Ref,2,FALSE)=0,"",VLOOKUP(C147,PartnerN°Ref,2,FALSE)),"")</f>
        <v>Gordon Academic College of Education</v>
      </c>
      <c r="E147" s="137" t="str">
        <f t="shared" ref="E147:E187" si="58">IFERROR(IF(OR(VLOOKUP(C147,PartnerN°Ref,4,FALSE)="Country not found",VLOOKUP(C147,PartnerN°Ref,3,FALSE)=0),"",VLOOKUP(C147,PartnerN°Ref,3,FALSE)),"")</f>
        <v>Israel</v>
      </c>
      <c r="F147" s="84" t="s">
        <v>400</v>
      </c>
      <c r="G147" s="85" t="s">
        <v>226</v>
      </c>
      <c r="H147" s="86">
        <v>2</v>
      </c>
      <c r="I147" s="84" t="s">
        <v>392</v>
      </c>
      <c r="J147" s="84" t="s">
        <v>158</v>
      </c>
      <c r="K147" s="86">
        <v>5</v>
      </c>
      <c r="L147" s="87">
        <f t="shared" ref="L147:L187" si="59">IF(O147="Error",0,ROUND(ROUND(H147,0)*(VLOOKUP(J147,TravelCosts,2,FALSE)),2))</f>
        <v>1060</v>
      </c>
      <c r="M147" s="88">
        <f t="shared" ref="M147:M187" si="60">IF(O147="Error",0,IF(AND(G147="Staff",K147&gt;0,K147&lt;15),(120*K147)*H147,IF(AND(G147="Staff",K147&gt;14,K147&lt;61),(1680+((K147-14)*70))*H147,IF(AND(G147="Staff",K147&gt;60,K147&lt;91),(4900+((K147-60)*50))*H147,IF(AND(G147="Student",K147&gt;0,K147&lt;15),(55*K147)*H147,IF(AND(G147="Student",K147&gt;14,K147&lt;91),(770+((K147-14)*40))*H147,0))))))</f>
        <v>1200</v>
      </c>
      <c r="N147" s="89">
        <f t="shared" si="6"/>
        <v>2260</v>
      </c>
      <c r="O147" s="79" t="str">
        <f t="shared" ref="O147:O187" si="61">IF(OR(COUNTIF(WorkPackage,B147)=0,COUNTIF(PartnerN°,C147)=0,D147="",COUNTIF(CountryALL,E147)=0,F147="",COUNTIF(Category2,G147)=0,ISNUMBER(H147)=FALSE,I147="",COUNTIF(TravelBands,J147)=0,ISNUMBER(K147)=FALSE,OR(K147&lt;0,K147&gt;90),IF(ISNUMBER(H147)=TRUE,H147=INT(H147*1)/1=FALSE),IF(ISNUMBER(K147)=TRUE,K147=INT(K147*1)/1=FALSE)),"Error","")</f>
        <v/>
      </c>
    </row>
    <row r="148" spans="2:15" s="80" customFormat="1" x14ac:dyDescent="0.3">
      <c r="B148" s="39" t="s">
        <v>178</v>
      </c>
      <c r="C148" s="73" t="s">
        <v>16</v>
      </c>
      <c r="D148" s="137" t="str">
        <f t="shared" si="57"/>
        <v>Gordon Academic College of Education</v>
      </c>
      <c r="E148" s="137" t="str">
        <f t="shared" si="58"/>
        <v>Israel</v>
      </c>
      <c r="F148" s="84" t="s">
        <v>400</v>
      </c>
      <c r="G148" s="85" t="s">
        <v>226</v>
      </c>
      <c r="H148" s="86">
        <v>2</v>
      </c>
      <c r="I148" s="84" t="s">
        <v>465</v>
      </c>
      <c r="J148" s="84" t="s">
        <v>329</v>
      </c>
      <c r="K148" s="86">
        <v>5</v>
      </c>
      <c r="L148" s="87">
        <f t="shared" si="59"/>
        <v>0</v>
      </c>
      <c r="M148" s="88">
        <f t="shared" si="60"/>
        <v>1200</v>
      </c>
      <c r="N148" s="89">
        <f t="shared" si="6"/>
        <v>1200</v>
      </c>
      <c r="O148" s="79" t="str">
        <f t="shared" si="61"/>
        <v/>
      </c>
    </row>
    <row r="149" spans="2:15" s="80" customFormat="1" x14ac:dyDescent="0.3">
      <c r="B149" s="39" t="s">
        <v>178</v>
      </c>
      <c r="C149" s="73" t="s">
        <v>16</v>
      </c>
      <c r="D149" s="137" t="str">
        <f t="shared" si="57"/>
        <v>Gordon Academic College of Education</v>
      </c>
      <c r="E149" s="137" t="str">
        <f t="shared" si="58"/>
        <v>Israel</v>
      </c>
      <c r="F149" s="84" t="s">
        <v>400</v>
      </c>
      <c r="G149" s="85" t="s">
        <v>228</v>
      </c>
      <c r="H149" s="86">
        <v>2</v>
      </c>
      <c r="I149" s="84" t="s">
        <v>465</v>
      </c>
      <c r="J149" s="84" t="s">
        <v>329</v>
      </c>
      <c r="K149" s="86">
        <v>4</v>
      </c>
      <c r="L149" s="87">
        <f t="shared" si="59"/>
        <v>0</v>
      </c>
      <c r="M149" s="88">
        <f t="shared" si="60"/>
        <v>440</v>
      </c>
      <c r="N149" s="89">
        <f t="shared" si="6"/>
        <v>440</v>
      </c>
      <c r="O149" s="79" t="str">
        <f t="shared" si="61"/>
        <v/>
      </c>
    </row>
    <row r="150" spans="2:15" s="80" customFormat="1" x14ac:dyDescent="0.3">
      <c r="B150" s="39" t="s">
        <v>372</v>
      </c>
      <c r="C150" s="73" t="s">
        <v>16</v>
      </c>
      <c r="D150" s="137" t="str">
        <f t="shared" si="57"/>
        <v>Gordon Academic College of Education</v>
      </c>
      <c r="E150" s="137" t="str">
        <f t="shared" si="58"/>
        <v>Israel</v>
      </c>
      <c r="F150" s="84" t="s">
        <v>400</v>
      </c>
      <c r="G150" s="85" t="s">
        <v>226</v>
      </c>
      <c r="H150" s="86">
        <v>1</v>
      </c>
      <c r="I150" s="84" t="s">
        <v>393</v>
      </c>
      <c r="J150" s="84" t="s">
        <v>158</v>
      </c>
      <c r="K150" s="86">
        <v>5</v>
      </c>
      <c r="L150" s="87">
        <f t="shared" si="59"/>
        <v>530</v>
      </c>
      <c r="M150" s="88">
        <f t="shared" si="60"/>
        <v>600</v>
      </c>
      <c r="N150" s="89">
        <f t="shared" si="6"/>
        <v>1130</v>
      </c>
      <c r="O150" s="79" t="str">
        <f t="shared" si="61"/>
        <v/>
      </c>
    </row>
    <row r="151" spans="2:15" s="80" customFormat="1" x14ac:dyDescent="0.3">
      <c r="B151" s="39" t="s">
        <v>372</v>
      </c>
      <c r="C151" s="73" t="s">
        <v>16</v>
      </c>
      <c r="D151" s="137" t="str">
        <f t="shared" si="57"/>
        <v>Gordon Academic College of Education</v>
      </c>
      <c r="E151" s="137" t="str">
        <f t="shared" si="58"/>
        <v>Israel</v>
      </c>
      <c r="F151" s="84" t="s">
        <v>400</v>
      </c>
      <c r="G151" s="85" t="s">
        <v>226</v>
      </c>
      <c r="H151" s="86">
        <v>1</v>
      </c>
      <c r="I151" s="95" t="s">
        <v>395</v>
      </c>
      <c r="J151" s="84" t="s">
        <v>158</v>
      </c>
      <c r="K151" s="86">
        <v>5</v>
      </c>
      <c r="L151" s="87">
        <f t="shared" si="59"/>
        <v>530</v>
      </c>
      <c r="M151" s="88">
        <f t="shared" si="60"/>
        <v>600</v>
      </c>
      <c r="N151" s="89">
        <f t="shared" si="6"/>
        <v>1130</v>
      </c>
      <c r="O151" s="79" t="str">
        <f t="shared" si="61"/>
        <v/>
      </c>
    </row>
    <row r="152" spans="2:15" s="80" customFormat="1" x14ac:dyDescent="0.3">
      <c r="B152" s="39" t="s">
        <v>178</v>
      </c>
      <c r="C152" s="73" t="s">
        <v>16</v>
      </c>
      <c r="D152" s="137" t="str">
        <f t="shared" si="57"/>
        <v>Gordon Academic College of Education</v>
      </c>
      <c r="E152" s="137" t="str">
        <f t="shared" si="58"/>
        <v>Israel</v>
      </c>
      <c r="F152" s="84" t="s">
        <v>400</v>
      </c>
      <c r="G152" s="85" t="s">
        <v>226</v>
      </c>
      <c r="H152" s="86">
        <v>2</v>
      </c>
      <c r="I152" s="84" t="s">
        <v>394</v>
      </c>
      <c r="J152" s="84" t="s">
        <v>154</v>
      </c>
      <c r="K152" s="86">
        <v>5</v>
      </c>
      <c r="L152" s="87">
        <f t="shared" si="59"/>
        <v>550</v>
      </c>
      <c r="M152" s="88">
        <f t="shared" si="60"/>
        <v>1200</v>
      </c>
      <c r="N152" s="89">
        <f t="shared" si="6"/>
        <v>1750</v>
      </c>
      <c r="O152" s="79" t="str">
        <f t="shared" si="61"/>
        <v/>
      </c>
    </row>
    <row r="153" spans="2:15" s="80" customFormat="1" x14ac:dyDescent="0.3">
      <c r="B153" s="39" t="s">
        <v>178</v>
      </c>
      <c r="C153" s="73" t="s">
        <v>16</v>
      </c>
      <c r="D153" s="137" t="str">
        <f t="shared" si="57"/>
        <v>Gordon Academic College of Education</v>
      </c>
      <c r="E153" s="137" t="str">
        <f t="shared" si="58"/>
        <v>Israel</v>
      </c>
      <c r="F153" s="84" t="s">
        <v>400</v>
      </c>
      <c r="G153" s="85" t="s">
        <v>226</v>
      </c>
      <c r="H153" s="86">
        <v>2</v>
      </c>
      <c r="I153" s="84" t="s">
        <v>465</v>
      </c>
      <c r="J153" s="84" t="s">
        <v>153</v>
      </c>
      <c r="K153" s="86">
        <v>5</v>
      </c>
      <c r="L153" s="87">
        <f t="shared" si="59"/>
        <v>360</v>
      </c>
      <c r="M153" s="88">
        <f t="shared" si="60"/>
        <v>1200</v>
      </c>
      <c r="N153" s="89">
        <f t="shared" si="6"/>
        <v>1560</v>
      </c>
      <c r="O153" s="79" t="str">
        <f t="shared" si="61"/>
        <v/>
      </c>
    </row>
    <row r="154" spans="2:15" s="80" customFormat="1" x14ac:dyDescent="0.3">
      <c r="B154" s="39" t="s">
        <v>178</v>
      </c>
      <c r="C154" s="73" t="s">
        <v>16</v>
      </c>
      <c r="D154" s="137" t="str">
        <f t="shared" si="57"/>
        <v>Gordon Academic College of Education</v>
      </c>
      <c r="E154" s="137" t="str">
        <f t="shared" si="58"/>
        <v>Israel</v>
      </c>
      <c r="F154" s="84" t="s">
        <v>400</v>
      </c>
      <c r="G154" s="85" t="s">
        <v>228</v>
      </c>
      <c r="H154" s="86">
        <v>2</v>
      </c>
      <c r="I154" s="84" t="s">
        <v>465</v>
      </c>
      <c r="J154" s="84" t="s">
        <v>153</v>
      </c>
      <c r="K154" s="86">
        <v>4</v>
      </c>
      <c r="L154" s="87">
        <f t="shared" si="59"/>
        <v>360</v>
      </c>
      <c r="M154" s="88">
        <f t="shared" si="60"/>
        <v>440</v>
      </c>
      <c r="N154" s="89">
        <f t="shared" si="6"/>
        <v>800</v>
      </c>
      <c r="O154" s="79" t="str">
        <f t="shared" si="61"/>
        <v/>
      </c>
    </row>
    <row r="155" spans="2:15" s="80" customFormat="1" x14ac:dyDescent="0.3">
      <c r="B155" s="39" t="s">
        <v>372</v>
      </c>
      <c r="C155" s="73" t="s">
        <v>16</v>
      </c>
      <c r="D155" s="137" t="str">
        <f t="shared" si="57"/>
        <v>Gordon Academic College of Education</v>
      </c>
      <c r="E155" s="137" t="str">
        <f t="shared" si="58"/>
        <v>Israel</v>
      </c>
      <c r="F155" s="84" t="s">
        <v>400</v>
      </c>
      <c r="G155" s="85" t="s">
        <v>226</v>
      </c>
      <c r="H155" s="86">
        <v>2</v>
      </c>
      <c r="I155" s="84" t="s">
        <v>396</v>
      </c>
      <c r="J155" s="84" t="s">
        <v>154</v>
      </c>
      <c r="K155" s="86">
        <v>5</v>
      </c>
      <c r="L155" s="87">
        <f t="shared" si="59"/>
        <v>550</v>
      </c>
      <c r="M155" s="88">
        <f t="shared" si="60"/>
        <v>1200</v>
      </c>
      <c r="N155" s="89">
        <f t="shared" si="6"/>
        <v>1750</v>
      </c>
      <c r="O155" s="79" t="str">
        <f t="shared" si="61"/>
        <v/>
      </c>
    </row>
    <row r="156" spans="2:15" s="80" customFormat="1" x14ac:dyDescent="0.3">
      <c r="B156" s="39" t="s">
        <v>372</v>
      </c>
      <c r="C156" s="73" t="s">
        <v>16</v>
      </c>
      <c r="D156" s="137" t="str">
        <f t="shared" si="57"/>
        <v>Gordon Academic College of Education</v>
      </c>
      <c r="E156" s="137" t="str">
        <f t="shared" si="58"/>
        <v>Israel</v>
      </c>
      <c r="F156" s="84" t="s">
        <v>400</v>
      </c>
      <c r="G156" s="85" t="s">
        <v>226</v>
      </c>
      <c r="H156" s="86">
        <v>1</v>
      </c>
      <c r="I156" s="84" t="s">
        <v>391</v>
      </c>
      <c r="J156" s="84" t="s">
        <v>155</v>
      </c>
      <c r="K156" s="86">
        <v>5</v>
      </c>
      <c r="L156" s="87">
        <f t="shared" si="59"/>
        <v>360</v>
      </c>
      <c r="M156" s="88">
        <f t="shared" si="60"/>
        <v>600</v>
      </c>
      <c r="N156" s="89">
        <f t="shared" si="6"/>
        <v>960</v>
      </c>
      <c r="O156" s="79" t="str">
        <f t="shared" si="61"/>
        <v/>
      </c>
    </row>
    <row r="157" spans="2:15" s="80" customFormat="1" x14ac:dyDescent="0.3">
      <c r="B157" s="39" t="s">
        <v>180</v>
      </c>
      <c r="C157" s="73" t="s">
        <v>16</v>
      </c>
      <c r="D157" s="137" t="str">
        <f t="shared" si="57"/>
        <v>Gordon Academic College of Education</v>
      </c>
      <c r="E157" s="137" t="str">
        <f t="shared" si="58"/>
        <v>Israel</v>
      </c>
      <c r="F157" s="84" t="s">
        <v>400</v>
      </c>
      <c r="G157" s="85" t="s">
        <v>226</v>
      </c>
      <c r="H157" s="86">
        <v>30</v>
      </c>
      <c r="I157" s="95" t="s">
        <v>470</v>
      </c>
      <c r="J157" s="84" t="s">
        <v>329</v>
      </c>
      <c r="K157" s="86">
        <v>1</v>
      </c>
      <c r="L157" s="87">
        <f t="shared" si="59"/>
        <v>0</v>
      </c>
      <c r="M157" s="88">
        <f t="shared" si="60"/>
        <v>3600</v>
      </c>
      <c r="N157" s="89">
        <f t="shared" si="6"/>
        <v>3600</v>
      </c>
      <c r="O157" s="79" t="str">
        <f t="shared" si="61"/>
        <v/>
      </c>
    </row>
    <row r="158" spans="2:15" s="80" customFormat="1" x14ac:dyDescent="0.3">
      <c r="B158" s="39" t="s">
        <v>372</v>
      </c>
      <c r="C158" s="73" t="s">
        <v>16</v>
      </c>
      <c r="D158" s="137" t="str">
        <f t="shared" si="57"/>
        <v>Gordon Academic College of Education</v>
      </c>
      <c r="E158" s="137" t="str">
        <f t="shared" si="58"/>
        <v>Israel</v>
      </c>
      <c r="F158" s="84" t="s">
        <v>400</v>
      </c>
      <c r="G158" s="85" t="s">
        <v>226</v>
      </c>
      <c r="H158" s="86">
        <v>12</v>
      </c>
      <c r="I158" s="95" t="s">
        <v>470</v>
      </c>
      <c r="J158" s="84" t="s">
        <v>329</v>
      </c>
      <c r="K158" s="86">
        <v>1</v>
      </c>
      <c r="L158" s="87">
        <f t="shared" si="59"/>
        <v>0</v>
      </c>
      <c r="M158" s="88">
        <f t="shared" si="60"/>
        <v>1440</v>
      </c>
      <c r="N158" s="89">
        <f t="shared" si="6"/>
        <v>1440</v>
      </c>
      <c r="O158" s="79" t="str">
        <f t="shared" si="61"/>
        <v/>
      </c>
    </row>
    <row r="159" spans="2:15" s="80" customFormat="1" x14ac:dyDescent="0.3">
      <c r="B159" s="39" t="s">
        <v>178</v>
      </c>
      <c r="C159" s="73" t="s">
        <v>16</v>
      </c>
      <c r="D159" s="137" t="str">
        <f t="shared" si="57"/>
        <v>Gordon Academic College of Education</v>
      </c>
      <c r="E159" s="137" t="str">
        <f t="shared" si="58"/>
        <v>Israel</v>
      </c>
      <c r="F159" s="84" t="s">
        <v>400</v>
      </c>
      <c r="G159" s="85" t="s">
        <v>226</v>
      </c>
      <c r="H159" s="86">
        <v>2</v>
      </c>
      <c r="I159" s="84" t="s">
        <v>401</v>
      </c>
      <c r="J159" s="84" t="s">
        <v>155</v>
      </c>
      <c r="K159" s="86">
        <v>5</v>
      </c>
      <c r="L159" s="87">
        <f t="shared" si="59"/>
        <v>720</v>
      </c>
      <c r="M159" s="88">
        <f t="shared" si="60"/>
        <v>1200</v>
      </c>
      <c r="N159" s="89">
        <f t="shared" si="6"/>
        <v>1920</v>
      </c>
      <c r="O159" s="79" t="str">
        <f t="shared" si="61"/>
        <v/>
      </c>
    </row>
    <row r="160" spans="2:15" s="80" customFormat="1" x14ac:dyDescent="0.3">
      <c r="B160" s="39" t="s">
        <v>178</v>
      </c>
      <c r="C160" s="73" t="s">
        <v>16</v>
      </c>
      <c r="D160" s="137" t="str">
        <f t="shared" si="57"/>
        <v>Gordon Academic College of Education</v>
      </c>
      <c r="E160" s="137" t="str">
        <f t="shared" si="58"/>
        <v>Israel</v>
      </c>
      <c r="F160" s="84" t="s">
        <v>400</v>
      </c>
      <c r="G160" s="85" t="s">
        <v>228</v>
      </c>
      <c r="H160" s="86">
        <v>2</v>
      </c>
      <c r="I160" s="84" t="s">
        <v>401</v>
      </c>
      <c r="J160" s="84" t="s">
        <v>155</v>
      </c>
      <c r="K160" s="86">
        <v>14</v>
      </c>
      <c r="L160" s="87">
        <f t="shared" si="59"/>
        <v>720</v>
      </c>
      <c r="M160" s="88">
        <f t="shared" si="60"/>
        <v>1540</v>
      </c>
      <c r="N160" s="89">
        <f t="shared" si="6"/>
        <v>2260</v>
      </c>
      <c r="O160" s="79" t="str">
        <f t="shared" si="61"/>
        <v/>
      </c>
    </row>
    <row r="161" spans="2:15" s="80" customFormat="1" x14ac:dyDescent="0.3">
      <c r="B161" s="39" t="s">
        <v>178</v>
      </c>
      <c r="C161" s="73" t="s">
        <v>17</v>
      </c>
      <c r="D161" s="137" t="str">
        <f t="shared" si="57"/>
        <v>The College of Sakhnin</v>
      </c>
      <c r="E161" s="137" t="str">
        <f t="shared" si="58"/>
        <v>Israel</v>
      </c>
      <c r="F161" s="84" t="s">
        <v>404</v>
      </c>
      <c r="G161" s="85" t="s">
        <v>226</v>
      </c>
      <c r="H161" s="86">
        <v>2</v>
      </c>
      <c r="I161" s="84" t="s">
        <v>390</v>
      </c>
      <c r="J161" s="84" t="s">
        <v>158</v>
      </c>
      <c r="K161" s="86">
        <v>5</v>
      </c>
      <c r="L161" s="87">
        <f t="shared" si="59"/>
        <v>1060</v>
      </c>
      <c r="M161" s="88">
        <f t="shared" si="60"/>
        <v>1200</v>
      </c>
      <c r="N161" s="89">
        <f t="shared" si="6"/>
        <v>2260</v>
      </c>
      <c r="O161" s="79" t="str">
        <f t="shared" si="61"/>
        <v/>
      </c>
    </row>
    <row r="162" spans="2:15" s="80" customFormat="1" x14ac:dyDescent="0.3">
      <c r="B162" s="39" t="s">
        <v>178</v>
      </c>
      <c r="C162" s="73" t="s">
        <v>17</v>
      </c>
      <c r="D162" s="137" t="str">
        <f t="shared" si="57"/>
        <v>The College of Sakhnin</v>
      </c>
      <c r="E162" s="137" t="str">
        <f t="shared" si="58"/>
        <v>Israel</v>
      </c>
      <c r="F162" s="84" t="s">
        <v>404</v>
      </c>
      <c r="G162" s="85" t="s">
        <v>228</v>
      </c>
      <c r="H162" s="86">
        <v>2</v>
      </c>
      <c r="I162" s="84" t="s">
        <v>390</v>
      </c>
      <c r="J162" s="84" t="s">
        <v>158</v>
      </c>
      <c r="K162" s="86">
        <v>14</v>
      </c>
      <c r="L162" s="87">
        <f t="shared" si="59"/>
        <v>1060</v>
      </c>
      <c r="M162" s="88">
        <f t="shared" si="60"/>
        <v>1540</v>
      </c>
      <c r="N162" s="89">
        <f t="shared" si="6"/>
        <v>2600</v>
      </c>
      <c r="O162" s="79" t="str">
        <f t="shared" si="61"/>
        <v/>
      </c>
    </row>
    <row r="163" spans="2:15" s="80" customFormat="1" x14ac:dyDescent="0.3">
      <c r="B163" s="39" t="s">
        <v>178</v>
      </c>
      <c r="C163" s="73" t="s">
        <v>17</v>
      </c>
      <c r="D163" s="137" t="str">
        <f t="shared" si="57"/>
        <v>The College of Sakhnin</v>
      </c>
      <c r="E163" s="137" t="str">
        <f t="shared" si="58"/>
        <v>Israel</v>
      </c>
      <c r="F163" s="84" t="s">
        <v>404</v>
      </c>
      <c r="G163" s="85" t="s">
        <v>226</v>
      </c>
      <c r="H163" s="86">
        <v>2</v>
      </c>
      <c r="I163" s="84" t="s">
        <v>465</v>
      </c>
      <c r="J163" s="84" t="s">
        <v>153</v>
      </c>
      <c r="K163" s="86">
        <v>5</v>
      </c>
      <c r="L163" s="87">
        <f t="shared" si="59"/>
        <v>360</v>
      </c>
      <c r="M163" s="88">
        <f t="shared" si="60"/>
        <v>1200</v>
      </c>
      <c r="N163" s="89">
        <f t="shared" si="6"/>
        <v>1560</v>
      </c>
      <c r="O163" s="79" t="str">
        <f t="shared" si="61"/>
        <v/>
      </c>
    </row>
    <row r="164" spans="2:15" s="80" customFormat="1" x14ac:dyDescent="0.3">
      <c r="B164" s="39" t="s">
        <v>178</v>
      </c>
      <c r="C164" s="73" t="s">
        <v>17</v>
      </c>
      <c r="D164" s="137" t="str">
        <f t="shared" si="57"/>
        <v>The College of Sakhnin</v>
      </c>
      <c r="E164" s="137" t="str">
        <f t="shared" si="58"/>
        <v>Israel</v>
      </c>
      <c r="F164" s="84" t="s">
        <v>404</v>
      </c>
      <c r="G164" s="85" t="s">
        <v>228</v>
      </c>
      <c r="H164" s="86">
        <v>2</v>
      </c>
      <c r="I164" s="84" t="s">
        <v>465</v>
      </c>
      <c r="J164" s="84" t="s">
        <v>153</v>
      </c>
      <c r="K164" s="86">
        <v>4</v>
      </c>
      <c r="L164" s="87">
        <f t="shared" si="59"/>
        <v>360</v>
      </c>
      <c r="M164" s="88">
        <f t="shared" si="60"/>
        <v>440</v>
      </c>
      <c r="N164" s="89">
        <f t="shared" si="6"/>
        <v>800</v>
      </c>
      <c r="O164" s="79" t="str">
        <f t="shared" si="61"/>
        <v/>
      </c>
    </row>
    <row r="165" spans="2:15" s="80" customFormat="1" x14ac:dyDescent="0.3">
      <c r="B165" s="39" t="s">
        <v>372</v>
      </c>
      <c r="C165" s="73" t="s">
        <v>17</v>
      </c>
      <c r="D165" s="137" t="str">
        <f t="shared" si="57"/>
        <v>The College of Sakhnin</v>
      </c>
      <c r="E165" s="137" t="str">
        <f t="shared" si="58"/>
        <v>Israel</v>
      </c>
      <c r="F165" s="84" t="s">
        <v>404</v>
      </c>
      <c r="G165" s="85" t="s">
        <v>226</v>
      </c>
      <c r="H165" s="86">
        <v>1</v>
      </c>
      <c r="I165" s="84" t="s">
        <v>396</v>
      </c>
      <c r="J165" s="84" t="s">
        <v>154</v>
      </c>
      <c r="K165" s="86">
        <v>5</v>
      </c>
      <c r="L165" s="87">
        <f t="shared" si="59"/>
        <v>275</v>
      </c>
      <c r="M165" s="88">
        <f t="shared" si="60"/>
        <v>600</v>
      </c>
      <c r="N165" s="89">
        <f t="shared" si="6"/>
        <v>875</v>
      </c>
      <c r="O165" s="79" t="str">
        <f t="shared" si="61"/>
        <v/>
      </c>
    </row>
    <row r="166" spans="2:15" s="80" customFormat="1" x14ac:dyDescent="0.3">
      <c r="B166" s="39" t="s">
        <v>372</v>
      </c>
      <c r="C166" s="73" t="s">
        <v>17</v>
      </c>
      <c r="D166" s="137" t="str">
        <f t="shared" si="57"/>
        <v>The College of Sakhnin</v>
      </c>
      <c r="E166" s="137" t="str">
        <f t="shared" si="58"/>
        <v>Israel</v>
      </c>
      <c r="F166" s="84" t="s">
        <v>404</v>
      </c>
      <c r="G166" s="85" t="s">
        <v>226</v>
      </c>
      <c r="H166" s="86">
        <v>1</v>
      </c>
      <c r="I166" s="84" t="s">
        <v>393</v>
      </c>
      <c r="J166" s="84" t="s">
        <v>158</v>
      </c>
      <c r="K166" s="86">
        <v>5</v>
      </c>
      <c r="L166" s="87">
        <f t="shared" si="59"/>
        <v>530</v>
      </c>
      <c r="M166" s="88">
        <f t="shared" si="60"/>
        <v>600</v>
      </c>
      <c r="N166" s="89">
        <f t="shared" si="6"/>
        <v>1130</v>
      </c>
      <c r="O166" s="79" t="str">
        <f t="shared" si="61"/>
        <v/>
      </c>
    </row>
    <row r="167" spans="2:15" s="80" customFormat="1" x14ac:dyDescent="0.3">
      <c r="B167" s="39" t="s">
        <v>178</v>
      </c>
      <c r="C167" s="73" t="s">
        <v>17</v>
      </c>
      <c r="D167" s="137" t="str">
        <f t="shared" si="57"/>
        <v>The College of Sakhnin</v>
      </c>
      <c r="E167" s="137" t="str">
        <f t="shared" si="58"/>
        <v>Israel</v>
      </c>
      <c r="F167" s="84" t="s">
        <v>404</v>
      </c>
      <c r="G167" s="85" t="s">
        <v>226</v>
      </c>
      <c r="H167" s="86">
        <v>2</v>
      </c>
      <c r="I167" s="84" t="s">
        <v>392</v>
      </c>
      <c r="J167" s="84" t="s">
        <v>158</v>
      </c>
      <c r="K167" s="86">
        <v>5</v>
      </c>
      <c r="L167" s="87">
        <f t="shared" si="59"/>
        <v>1060</v>
      </c>
      <c r="M167" s="88">
        <f t="shared" si="60"/>
        <v>1200</v>
      </c>
      <c r="N167" s="89">
        <f t="shared" si="6"/>
        <v>2260</v>
      </c>
      <c r="O167" s="79" t="str">
        <f t="shared" si="61"/>
        <v/>
      </c>
    </row>
    <row r="168" spans="2:15" s="80" customFormat="1" x14ac:dyDescent="0.3">
      <c r="B168" s="39" t="s">
        <v>178</v>
      </c>
      <c r="C168" s="73" t="s">
        <v>17</v>
      </c>
      <c r="D168" s="137" t="str">
        <f t="shared" si="57"/>
        <v>The College of Sakhnin</v>
      </c>
      <c r="E168" s="137" t="str">
        <f t="shared" si="58"/>
        <v>Israel</v>
      </c>
      <c r="F168" s="84" t="s">
        <v>404</v>
      </c>
      <c r="G168" s="85" t="s">
        <v>226</v>
      </c>
      <c r="H168" s="86">
        <v>2</v>
      </c>
      <c r="I168" s="84" t="s">
        <v>465</v>
      </c>
      <c r="J168" s="84" t="s">
        <v>329</v>
      </c>
      <c r="K168" s="86">
        <v>5</v>
      </c>
      <c r="L168" s="87">
        <f t="shared" si="59"/>
        <v>0</v>
      </c>
      <c r="M168" s="88">
        <f t="shared" si="60"/>
        <v>1200</v>
      </c>
      <c r="N168" s="89">
        <f t="shared" si="6"/>
        <v>1200</v>
      </c>
      <c r="O168" s="79" t="str">
        <f t="shared" si="61"/>
        <v/>
      </c>
    </row>
    <row r="169" spans="2:15" s="80" customFormat="1" x14ac:dyDescent="0.3">
      <c r="B169" s="39" t="s">
        <v>178</v>
      </c>
      <c r="C169" s="73" t="s">
        <v>17</v>
      </c>
      <c r="D169" s="137" t="str">
        <f t="shared" si="57"/>
        <v>The College of Sakhnin</v>
      </c>
      <c r="E169" s="137" t="str">
        <f t="shared" si="58"/>
        <v>Israel</v>
      </c>
      <c r="F169" s="84" t="s">
        <v>404</v>
      </c>
      <c r="G169" s="85" t="s">
        <v>228</v>
      </c>
      <c r="H169" s="86">
        <v>2</v>
      </c>
      <c r="I169" s="84" t="s">
        <v>465</v>
      </c>
      <c r="J169" s="84" t="s">
        <v>329</v>
      </c>
      <c r="K169" s="86">
        <v>4</v>
      </c>
      <c r="L169" s="87">
        <f t="shared" si="59"/>
        <v>0</v>
      </c>
      <c r="M169" s="88">
        <f t="shared" si="60"/>
        <v>440</v>
      </c>
      <c r="N169" s="89">
        <f t="shared" si="6"/>
        <v>440</v>
      </c>
      <c r="O169" s="79" t="str">
        <f t="shared" si="61"/>
        <v/>
      </c>
    </row>
    <row r="170" spans="2:15" s="80" customFormat="1" x14ac:dyDescent="0.3">
      <c r="B170" s="39" t="s">
        <v>372</v>
      </c>
      <c r="C170" s="73" t="s">
        <v>17</v>
      </c>
      <c r="D170" s="137" t="str">
        <f t="shared" si="57"/>
        <v>The College of Sakhnin</v>
      </c>
      <c r="E170" s="137" t="str">
        <f t="shared" si="58"/>
        <v>Israel</v>
      </c>
      <c r="F170" s="84" t="s">
        <v>404</v>
      </c>
      <c r="G170" s="85" t="s">
        <v>226</v>
      </c>
      <c r="H170" s="86">
        <v>1</v>
      </c>
      <c r="I170" s="84" t="s">
        <v>391</v>
      </c>
      <c r="J170" s="84" t="s">
        <v>155</v>
      </c>
      <c r="K170" s="86">
        <v>5</v>
      </c>
      <c r="L170" s="87">
        <f t="shared" si="59"/>
        <v>360</v>
      </c>
      <c r="M170" s="88">
        <f t="shared" si="60"/>
        <v>600</v>
      </c>
      <c r="N170" s="89">
        <f t="shared" si="6"/>
        <v>960</v>
      </c>
      <c r="O170" s="79" t="str">
        <f t="shared" si="61"/>
        <v/>
      </c>
    </row>
    <row r="171" spans="2:15" s="80" customFormat="1" x14ac:dyDescent="0.3">
      <c r="B171" s="39" t="s">
        <v>372</v>
      </c>
      <c r="C171" s="73" t="s">
        <v>17</v>
      </c>
      <c r="D171" s="137" t="str">
        <f t="shared" si="57"/>
        <v>The College of Sakhnin</v>
      </c>
      <c r="E171" s="137" t="str">
        <f t="shared" si="58"/>
        <v>Israel</v>
      </c>
      <c r="F171" s="84" t="s">
        <v>404</v>
      </c>
      <c r="G171" s="85" t="s">
        <v>226</v>
      </c>
      <c r="H171" s="86">
        <v>1</v>
      </c>
      <c r="I171" s="95" t="s">
        <v>395</v>
      </c>
      <c r="J171" s="84" t="s">
        <v>158</v>
      </c>
      <c r="K171" s="86">
        <v>5</v>
      </c>
      <c r="L171" s="87">
        <f t="shared" si="59"/>
        <v>530</v>
      </c>
      <c r="M171" s="88">
        <f t="shared" si="60"/>
        <v>600</v>
      </c>
      <c r="N171" s="89">
        <f t="shared" si="6"/>
        <v>1130</v>
      </c>
      <c r="O171" s="79" t="str">
        <f t="shared" si="61"/>
        <v/>
      </c>
    </row>
    <row r="172" spans="2:15" s="80" customFormat="1" x14ac:dyDescent="0.3">
      <c r="B172" s="39" t="s">
        <v>178</v>
      </c>
      <c r="C172" s="73" t="s">
        <v>17</v>
      </c>
      <c r="D172" s="137" t="str">
        <f t="shared" si="57"/>
        <v>The College of Sakhnin</v>
      </c>
      <c r="E172" s="137" t="str">
        <f t="shared" si="58"/>
        <v>Israel</v>
      </c>
      <c r="F172" s="84" t="s">
        <v>404</v>
      </c>
      <c r="G172" s="85" t="s">
        <v>226</v>
      </c>
      <c r="H172" s="86">
        <v>2</v>
      </c>
      <c r="I172" s="84" t="s">
        <v>394</v>
      </c>
      <c r="J172" s="84" t="s">
        <v>154</v>
      </c>
      <c r="K172" s="86">
        <v>5</v>
      </c>
      <c r="L172" s="87">
        <f t="shared" si="59"/>
        <v>550</v>
      </c>
      <c r="M172" s="88">
        <f t="shared" si="60"/>
        <v>1200</v>
      </c>
      <c r="N172" s="89">
        <f t="shared" si="6"/>
        <v>1750</v>
      </c>
      <c r="O172" s="79" t="str">
        <f t="shared" si="61"/>
        <v/>
      </c>
    </row>
    <row r="173" spans="2:15" s="80" customFormat="1" x14ac:dyDescent="0.3">
      <c r="B173" s="39" t="s">
        <v>178</v>
      </c>
      <c r="C173" s="73" t="s">
        <v>17</v>
      </c>
      <c r="D173" s="137" t="str">
        <f t="shared" si="57"/>
        <v>The College of Sakhnin</v>
      </c>
      <c r="E173" s="137" t="str">
        <f t="shared" si="58"/>
        <v>Israel</v>
      </c>
      <c r="F173" s="84" t="s">
        <v>404</v>
      </c>
      <c r="G173" s="85" t="s">
        <v>226</v>
      </c>
      <c r="H173" s="86">
        <v>2</v>
      </c>
      <c r="I173" s="84" t="s">
        <v>465</v>
      </c>
      <c r="J173" s="84" t="s">
        <v>153</v>
      </c>
      <c r="K173" s="86">
        <v>5</v>
      </c>
      <c r="L173" s="87">
        <f t="shared" si="59"/>
        <v>360</v>
      </c>
      <c r="M173" s="88">
        <f t="shared" si="60"/>
        <v>1200</v>
      </c>
      <c r="N173" s="89">
        <f t="shared" si="6"/>
        <v>1560</v>
      </c>
      <c r="O173" s="79" t="str">
        <f t="shared" si="61"/>
        <v/>
      </c>
    </row>
    <row r="174" spans="2:15" s="80" customFormat="1" x14ac:dyDescent="0.3">
      <c r="B174" s="39" t="s">
        <v>178</v>
      </c>
      <c r="C174" s="73" t="s">
        <v>17</v>
      </c>
      <c r="D174" s="137" t="str">
        <f t="shared" si="57"/>
        <v>The College of Sakhnin</v>
      </c>
      <c r="E174" s="137" t="str">
        <f t="shared" si="58"/>
        <v>Israel</v>
      </c>
      <c r="F174" s="84" t="s">
        <v>404</v>
      </c>
      <c r="G174" s="85" t="s">
        <v>228</v>
      </c>
      <c r="H174" s="86">
        <v>2</v>
      </c>
      <c r="I174" s="84" t="s">
        <v>465</v>
      </c>
      <c r="J174" s="84" t="s">
        <v>153</v>
      </c>
      <c r="K174" s="86">
        <v>4</v>
      </c>
      <c r="L174" s="87">
        <f t="shared" si="59"/>
        <v>360</v>
      </c>
      <c r="M174" s="88">
        <f t="shared" si="60"/>
        <v>440</v>
      </c>
      <c r="N174" s="89">
        <f t="shared" si="6"/>
        <v>800</v>
      </c>
      <c r="O174" s="79" t="str">
        <f t="shared" si="61"/>
        <v/>
      </c>
    </row>
    <row r="175" spans="2:15" s="80" customFormat="1" x14ac:dyDescent="0.3">
      <c r="B175" s="39" t="s">
        <v>372</v>
      </c>
      <c r="C175" s="73" t="s">
        <v>17</v>
      </c>
      <c r="D175" s="137" t="str">
        <f t="shared" si="57"/>
        <v>The College of Sakhnin</v>
      </c>
      <c r="E175" s="137" t="str">
        <f t="shared" si="58"/>
        <v>Israel</v>
      </c>
      <c r="F175" s="84" t="s">
        <v>404</v>
      </c>
      <c r="G175" s="85" t="s">
        <v>226</v>
      </c>
      <c r="H175" s="86">
        <v>1</v>
      </c>
      <c r="I175" s="84" t="s">
        <v>393</v>
      </c>
      <c r="J175" s="84" t="s">
        <v>158</v>
      </c>
      <c r="K175" s="86">
        <v>5</v>
      </c>
      <c r="L175" s="87">
        <f t="shared" si="59"/>
        <v>530</v>
      </c>
      <c r="M175" s="88">
        <f t="shared" si="60"/>
        <v>600</v>
      </c>
      <c r="N175" s="89">
        <f t="shared" si="6"/>
        <v>1130</v>
      </c>
      <c r="O175" s="79" t="str">
        <f t="shared" si="61"/>
        <v/>
      </c>
    </row>
    <row r="176" spans="2:15" s="80" customFormat="1" x14ac:dyDescent="0.3">
      <c r="B176" s="39" t="s">
        <v>372</v>
      </c>
      <c r="C176" s="73" t="s">
        <v>17</v>
      </c>
      <c r="D176" s="137" t="str">
        <f t="shared" si="57"/>
        <v>The College of Sakhnin</v>
      </c>
      <c r="E176" s="137" t="str">
        <f t="shared" si="58"/>
        <v>Israel</v>
      </c>
      <c r="F176" s="84" t="s">
        <v>404</v>
      </c>
      <c r="G176" s="85" t="s">
        <v>226</v>
      </c>
      <c r="H176" s="86">
        <v>2</v>
      </c>
      <c r="I176" s="84" t="s">
        <v>396</v>
      </c>
      <c r="J176" s="84" t="s">
        <v>154</v>
      </c>
      <c r="K176" s="86">
        <v>5</v>
      </c>
      <c r="L176" s="87">
        <f t="shared" si="59"/>
        <v>550</v>
      </c>
      <c r="M176" s="88">
        <f t="shared" si="60"/>
        <v>1200</v>
      </c>
      <c r="N176" s="89">
        <f t="shared" si="6"/>
        <v>1750</v>
      </c>
      <c r="O176" s="79" t="str">
        <f t="shared" si="61"/>
        <v/>
      </c>
    </row>
    <row r="177" spans="2:15" s="80" customFormat="1" x14ac:dyDescent="0.3">
      <c r="B177" s="39" t="s">
        <v>180</v>
      </c>
      <c r="C177" s="73" t="s">
        <v>17</v>
      </c>
      <c r="D177" s="137" t="str">
        <f t="shared" si="57"/>
        <v>The College of Sakhnin</v>
      </c>
      <c r="E177" s="137" t="str">
        <f t="shared" si="58"/>
        <v>Israel</v>
      </c>
      <c r="F177" s="84" t="s">
        <v>404</v>
      </c>
      <c r="G177" s="85" t="s">
        <v>226</v>
      </c>
      <c r="H177" s="86">
        <v>30</v>
      </c>
      <c r="I177" s="95" t="s">
        <v>470</v>
      </c>
      <c r="J177" s="84" t="s">
        <v>329</v>
      </c>
      <c r="K177" s="86">
        <v>1</v>
      </c>
      <c r="L177" s="87">
        <f t="shared" si="59"/>
        <v>0</v>
      </c>
      <c r="M177" s="88">
        <f t="shared" si="60"/>
        <v>3600</v>
      </c>
      <c r="N177" s="89">
        <f t="shared" si="6"/>
        <v>3600</v>
      </c>
      <c r="O177" s="79" t="str">
        <f t="shared" si="61"/>
        <v/>
      </c>
    </row>
    <row r="178" spans="2:15" s="80" customFormat="1" x14ac:dyDescent="0.3">
      <c r="B178" s="39" t="s">
        <v>372</v>
      </c>
      <c r="C178" s="73" t="s">
        <v>17</v>
      </c>
      <c r="D178" s="137" t="str">
        <f t="shared" si="57"/>
        <v>The College of Sakhnin</v>
      </c>
      <c r="E178" s="137" t="str">
        <f t="shared" si="58"/>
        <v>Israel</v>
      </c>
      <c r="F178" s="84" t="s">
        <v>404</v>
      </c>
      <c r="G178" s="85" t="s">
        <v>226</v>
      </c>
      <c r="H178" s="86">
        <v>12</v>
      </c>
      <c r="I178" s="95" t="s">
        <v>470</v>
      </c>
      <c r="J178" s="84" t="s">
        <v>329</v>
      </c>
      <c r="K178" s="86">
        <v>1</v>
      </c>
      <c r="L178" s="87">
        <f t="shared" si="59"/>
        <v>0</v>
      </c>
      <c r="M178" s="88">
        <f t="shared" si="60"/>
        <v>1440</v>
      </c>
      <c r="N178" s="89">
        <f t="shared" si="6"/>
        <v>1440</v>
      </c>
      <c r="O178" s="79" t="str">
        <f t="shared" si="61"/>
        <v/>
      </c>
    </row>
    <row r="179" spans="2:15" s="80" customFormat="1" x14ac:dyDescent="0.3">
      <c r="B179" s="39" t="s">
        <v>178</v>
      </c>
      <c r="C179" s="73" t="s">
        <v>17</v>
      </c>
      <c r="D179" s="137" t="str">
        <f t="shared" si="57"/>
        <v>The College of Sakhnin</v>
      </c>
      <c r="E179" s="137" t="str">
        <f t="shared" si="58"/>
        <v>Israel</v>
      </c>
      <c r="F179" s="84" t="s">
        <v>404</v>
      </c>
      <c r="G179" s="85" t="s">
        <v>226</v>
      </c>
      <c r="H179" s="86">
        <v>2</v>
      </c>
      <c r="I179" s="84" t="s">
        <v>401</v>
      </c>
      <c r="J179" s="84" t="s">
        <v>155</v>
      </c>
      <c r="K179" s="86">
        <v>5</v>
      </c>
      <c r="L179" s="87">
        <f t="shared" si="59"/>
        <v>720</v>
      </c>
      <c r="M179" s="88">
        <f t="shared" si="60"/>
        <v>1200</v>
      </c>
      <c r="N179" s="89">
        <f t="shared" si="6"/>
        <v>1920</v>
      </c>
      <c r="O179" s="79" t="str">
        <f t="shared" si="61"/>
        <v/>
      </c>
    </row>
    <row r="180" spans="2:15" s="80" customFormat="1" x14ac:dyDescent="0.3">
      <c r="B180" s="39" t="s">
        <v>178</v>
      </c>
      <c r="C180" s="73" t="s">
        <v>17</v>
      </c>
      <c r="D180" s="137" t="str">
        <f t="shared" si="57"/>
        <v>The College of Sakhnin</v>
      </c>
      <c r="E180" s="137" t="str">
        <f t="shared" si="58"/>
        <v>Israel</v>
      </c>
      <c r="F180" s="84" t="s">
        <v>404</v>
      </c>
      <c r="G180" s="85" t="s">
        <v>228</v>
      </c>
      <c r="H180" s="86">
        <v>2</v>
      </c>
      <c r="I180" s="84" t="s">
        <v>401</v>
      </c>
      <c r="J180" s="84" t="s">
        <v>155</v>
      </c>
      <c r="K180" s="86">
        <v>14</v>
      </c>
      <c r="L180" s="87">
        <f t="shared" si="59"/>
        <v>720</v>
      </c>
      <c r="M180" s="88">
        <f t="shared" si="60"/>
        <v>1540</v>
      </c>
      <c r="N180" s="89">
        <f t="shared" si="6"/>
        <v>2260</v>
      </c>
      <c r="O180" s="79" t="str">
        <f t="shared" si="61"/>
        <v/>
      </c>
    </row>
    <row r="181" spans="2:15" s="80" customFormat="1" x14ac:dyDescent="0.3">
      <c r="B181" s="39" t="s">
        <v>178</v>
      </c>
      <c r="C181" s="73" t="s">
        <v>18</v>
      </c>
      <c r="D181" s="137" t="str">
        <f t="shared" si="57"/>
        <v>Talpiot Academic College</v>
      </c>
      <c r="E181" s="137" t="str">
        <f t="shared" si="58"/>
        <v>Israel</v>
      </c>
      <c r="F181" s="84" t="s">
        <v>405</v>
      </c>
      <c r="G181" s="85" t="s">
        <v>226</v>
      </c>
      <c r="H181" s="86">
        <v>2</v>
      </c>
      <c r="I181" s="84" t="s">
        <v>390</v>
      </c>
      <c r="J181" s="84" t="s">
        <v>158</v>
      </c>
      <c r="K181" s="86">
        <v>5</v>
      </c>
      <c r="L181" s="87">
        <f t="shared" si="59"/>
        <v>1060</v>
      </c>
      <c r="M181" s="88">
        <f t="shared" si="60"/>
        <v>1200</v>
      </c>
      <c r="N181" s="89">
        <f t="shared" si="6"/>
        <v>2260</v>
      </c>
      <c r="O181" s="79" t="str">
        <f t="shared" si="61"/>
        <v/>
      </c>
    </row>
    <row r="182" spans="2:15" s="80" customFormat="1" x14ac:dyDescent="0.3">
      <c r="B182" s="39" t="s">
        <v>178</v>
      </c>
      <c r="C182" s="73" t="s">
        <v>18</v>
      </c>
      <c r="D182" s="137" t="str">
        <f t="shared" si="57"/>
        <v>Talpiot Academic College</v>
      </c>
      <c r="E182" s="137" t="str">
        <f t="shared" si="58"/>
        <v>Israel</v>
      </c>
      <c r="F182" s="84" t="s">
        <v>405</v>
      </c>
      <c r="G182" s="85" t="s">
        <v>228</v>
      </c>
      <c r="H182" s="86">
        <v>2</v>
      </c>
      <c r="I182" s="84" t="s">
        <v>390</v>
      </c>
      <c r="J182" s="84" t="s">
        <v>158</v>
      </c>
      <c r="K182" s="86">
        <v>14</v>
      </c>
      <c r="L182" s="87">
        <f t="shared" si="59"/>
        <v>1060</v>
      </c>
      <c r="M182" s="88">
        <f t="shared" si="60"/>
        <v>1540</v>
      </c>
      <c r="N182" s="89">
        <f t="shared" si="6"/>
        <v>2600</v>
      </c>
      <c r="O182" s="79" t="str">
        <f t="shared" si="61"/>
        <v/>
      </c>
    </row>
    <row r="183" spans="2:15" s="80" customFormat="1" x14ac:dyDescent="0.3">
      <c r="B183" s="39" t="s">
        <v>178</v>
      </c>
      <c r="C183" s="73" t="s">
        <v>18</v>
      </c>
      <c r="D183" s="137" t="str">
        <f t="shared" si="57"/>
        <v>Talpiot Academic College</v>
      </c>
      <c r="E183" s="137" t="str">
        <f t="shared" si="58"/>
        <v>Israel</v>
      </c>
      <c r="F183" s="84" t="s">
        <v>405</v>
      </c>
      <c r="G183" s="85" t="s">
        <v>226</v>
      </c>
      <c r="H183" s="86">
        <v>2</v>
      </c>
      <c r="I183" s="84" t="s">
        <v>465</v>
      </c>
      <c r="J183" s="84" t="s">
        <v>329</v>
      </c>
      <c r="K183" s="86">
        <v>5</v>
      </c>
      <c r="L183" s="87">
        <f t="shared" si="59"/>
        <v>0</v>
      </c>
      <c r="M183" s="88">
        <f t="shared" si="60"/>
        <v>1200</v>
      </c>
      <c r="N183" s="89">
        <f t="shared" si="6"/>
        <v>1200</v>
      </c>
      <c r="O183" s="79" t="str">
        <f t="shared" si="61"/>
        <v/>
      </c>
    </row>
    <row r="184" spans="2:15" s="80" customFormat="1" x14ac:dyDescent="0.3">
      <c r="B184" s="39" t="s">
        <v>178</v>
      </c>
      <c r="C184" s="73" t="s">
        <v>18</v>
      </c>
      <c r="D184" s="137" t="str">
        <f t="shared" si="57"/>
        <v>Talpiot Academic College</v>
      </c>
      <c r="E184" s="137" t="str">
        <f t="shared" si="58"/>
        <v>Israel</v>
      </c>
      <c r="F184" s="84" t="s">
        <v>405</v>
      </c>
      <c r="G184" s="85" t="s">
        <v>228</v>
      </c>
      <c r="H184" s="86">
        <v>2</v>
      </c>
      <c r="I184" s="84" t="s">
        <v>465</v>
      </c>
      <c r="J184" s="84" t="s">
        <v>329</v>
      </c>
      <c r="K184" s="86">
        <v>4</v>
      </c>
      <c r="L184" s="87">
        <f t="shared" si="59"/>
        <v>0</v>
      </c>
      <c r="M184" s="88">
        <f t="shared" si="60"/>
        <v>440</v>
      </c>
      <c r="N184" s="89">
        <f t="shared" si="6"/>
        <v>440</v>
      </c>
      <c r="O184" s="79" t="str">
        <f t="shared" si="61"/>
        <v/>
      </c>
    </row>
    <row r="185" spans="2:15" s="80" customFormat="1" x14ac:dyDescent="0.3">
      <c r="B185" s="39" t="s">
        <v>372</v>
      </c>
      <c r="C185" s="73" t="s">
        <v>18</v>
      </c>
      <c r="D185" s="137" t="str">
        <f t="shared" si="57"/>
        <v>Talpiot Academic College</v>
      </c>
      <c r="E185" s="137" t="str">
        <f t="shared" si="58"/>
        <v>Israel</v>
      </c>
      <c r="F185" s="84" t="s">
        <v>405</v>
      </c>
      <c r="G185" s="85" t="s">
        <v>226</v>
      </c>
      <c r="H185" s="86">
        <v>1</v>
      </c>
      <c r="I185" s="84" t="s">
        <v>395</v>
      </c>
      <c r="J185" s="84" t="s">
        <v>158</v>
      </c>
      <c r="K185" s="86">
        <v>5</v>
      </c>
      <c r="L185" s="87">
        <f t="shared" si="59"/>
        <v>530</v>
      </c>
      <c r="M185" s="88">
        <f t="shared" si="60"/>
        <v>600</v>
      </c>
      <c r="N185" s="89">
        <f t="shared" si="6"/>
        <v>1130</v>
      </c>
      <c r="O185" s="79" t="str">
        <f t="shared" si="61"/>
        <v/>
      </c>
    </row>
    <row r="186" spans="2:15" s="80" customFormat="1" x14ac:dyDescent="0.3">
      <c r="B186" s="39" t="s">
        <v>372</v>
      </c>
      <c r="C186" s="73" t="s">
        <v>18</v>
      </c>
      <c r="D186" s="137" t="str">
        <f t="shared" si="57"/>
        <v>Talpiot Academic College</v>
      </c>
      <c r="E186" s="137" t="str">
        <f t="shared" si="58"/>
        <v>Israel</v>
      </c>
      <c r="F186" s="84" t="s">
        <v>405</v>
      </c>
      <c r="G186" s="85" t="s">
        <v>226</v>
      </c>
      <c r="H186" s="86">
        <v>1</v>
      </c>
      <c r="I186" s="84" t="s">
        <v>391</v>
      </c>
      <c r="J186" s="84" t="s">
        <v>155</v>
      </c>
      <c r="K186" s="86">
        <v>5</v>
      </c>
      <c r="L186" s="87">
        <f t="shared" si="59"/>
        <v>360</v>
      </c>
      <c r="M186" s="88">
        <f t="shared" si="60"/>
        <v>600</v>
      </c>
      <c r="N186" s="89">
        <f t="shared" si="6"/>
        <v>960</v>
      </c>
      <c r="O186" s="79" t="str">
        <f t="shared" si="61"/>
        <v/>
      </c>
    </row>
    <row r="187" spans="2:15" s="80" customFormat="1" x14ac:dyDescent="0.3">
      <c r="B187" s="39" t="s">
        <v>178</v>
      </c>
      <c r="C187" s="73" t="s">
        <v>18</v>
      </c>
      <c r="D187" s="137" t="str">
        <f t="shared" si="57"/>
        <v>Talpiot Academic College</v>
      </c>
      <c r="E187" s="137" t="str">
        <f t="shared" si="58"/>
        <v>Israel</v>
      </c>
      <c r="F187" s="84" t="s">
        <v>405</v>
      </c>
      <c r="G187" s="85" t="s">
        <v>226</v>
      </c>
      <c r="H187" s="86">
        <v>2</v>
      </c>
      <c r="I187" s="84" t="s">
        <v>392</v>
      </c>
      <c r="J187" s="84" t="s">
        <v>158</v>
      </c>
      <c r="K187" s="86">
        <v>5</v>
      </c>
      <c r="L187" s="87">
        <f t="shared" si="59"/>
        <v>1060</v>
      </c>
      <c r="M187" s="88">
        <f t="shared" si="60"/>
        <v>1200</v>
      </c>
      <c r="N187" s="89">
        <f t="shared" si="6"/>
        <v>2260</v>
      </c>
      <c r="O187" s="79" t="str">
        <f t="shared" si="61"/>
        <v/>
      </c>
    </row>
    <row r="188" spans="2:15" s="80" customFormat="1" x14ac:dyDescent="0.3">
      <c r="B188" s="39" t="s">
        <v>178</v>
      </c>
      <c r="C188" s="73" t="s">
        <v>18</v>
      </c>
      <c r="D188" s="137" t="str">
        <f t="shared" ref="D188:D218" si="62">IFERROR(IF(VLOOKUP(C188,PartnerN°Ref,2,FALSE)=0,"",VLOOKUP(C188,PartnerN°Ref,2,FALSE)),"")</f>
        <v>Talpiot Academic College</v>
      </c>
      <c r="E188" s="137" t="str">
        <f t="shared" ref="E188:E218" si="63">IFERROR(IF(OR(VLOOKUP(C188,PartnerN°Ref,4,FALSE)="Country not found",VLOOKUP(C188,PartnerN°Ref,3,FALSE)=0),"",VLOOKUP(C188,PartnerN°Ref,3,FALSE)),"")</f>
        <v>Israel</v>
      </c>
      <c r="F188" s="84" t="s">
        <v>405</v>
      </c>
      <c r="G188" s="85" t="s">
        <v>226</v>
      </c>
      <c r="H188" s="86">
        <v>2</v>
      </c>
      <c r="I188" s="84" t="s">
        <v>465</v>
      </c>
      <c r="J188" s="84" t="s">
        <v>329</v>
      </c>
      <c r="K188" s="86">
        <v>5</v>
      </c>
      <c r="L188" s="87">
        <f t="shared" ref="L188:L218" si="64">IF(O188="Error",0,ROUND(ROUND(H188,0)*(VLOOKUP(J188,TravelCosts,2,FALSE)),2))</f>
        <v>0</v>
      </c>
      <c r="M188" s="88">
        <f t="shared" ref="M188:M218" si="65">IF(O188="Error",0,IF(AND(G188="Staff",K188&gt;0,K188&lt;15),(120*K188)*H188,IF(AND(G188="Staff",K188&gt;14,K188&lt;61),(1680+((K188-14)*70))*H188,IF(AND(G188="Staff",K188&gt;60,K188&lt;91),(4900+((K188-60)*50))*H188,IF(AND(G188="Student",K188&gt;0,K188&lt;15),(55*K188)*H188,IF(AND(G188="Student",K188&gt;14,K188&lt;91),(770+((K188-14)*40))*H188,0))))))</f>
        <v>1200</v>
      </c>
      <c r="N188" s="89">
        <f t="shared" si="6"/>
        <v>1200</v>
      </c>
      <c r="O188" s="79" t="str">
        <f t="shared" ref="O188:O218" si="66">IF(OR(COUNTIF(WorkPackage,B188)=0,COUNTIF(PartnerN°,C188)=0,D188="",COUNTIF(CountryALL,E188)=0,F188="",COUNTIF(Category2,G188)=0,ISNUMBER(H188)=FALSE,I188="",COUNTIF(TravelBands,J188)=0,ISNUMBER(K188)=FALSE,OR(K188&lt;0,K188&gt;90),IF(ISNUMBER(H188)=TRUE,H188=INT(H188*1)/1=FALSE),IF(ISNUMBER(K188)=TRUE,K188=INT(K188*1)/1=FALSE)),"Error","")</f>
        <v/>
      </c>
    </row>
    <row r="189" spans="2:15" s="80" customFormat="1" x14ac:dyDescent="0.3">
      <c r="B189" s="39" t="s">
        <v>178</v>
      </c>
      <c r="C189" s="73" t="s">
        <v>18</v>
      </c>
      <c r="D189" s="137" t="str">
        <f t="shared" si="62"/>
        <v>Talpiot Academic College</v>
      </c>
      <c r="E189" s="137" t="str">
        <f t="shared" si="63"/>
        <v>Israel</v>
      </c>
      <c r="F189" s="84" t="s">
        <v>405</v>
      </c>
      <c r="G189" s="85" t="s">
        <v>228</v>
      </c>
      <c r="H189" s="86">
        <v>2</v>
      </c>
      <c r="I189" s="84" t="s">
        <v>465</v>
      </c>
      <c r="J189" s="84" t="s">
        <v>329</v>
      </c>
      <c r="K189" s="86">
        <v>4</v>
      </c>
      <c r="L189" s="87">
        <f t="shared" si="64"/>
        <v>0</v>
      </c>
      <c r="M189" s="88">
        <f t="shared" si="65"/>
        <v>440</v>
      </c>
      <c r="N189" s="89">
        <f t="shared" si="6"/>
        <v>440</v>
      </c>
      <c r="O189" s="79" t="str">
        <f t="shared" si="66"/>
        <v/>
      </c>
    </row>
    <row r="190" spans="2:15" s="80" customFormat="1" x14ac:dyDescent="0.3">
      <c r="B190" s="39" t="s">
        <v>372</v>
      </c>
      <c r="C190" s="73" t="s">
        <v>18</v>
      </c>
      <c r="D190" s="137" t="str">
        <f t="shared" si="62"/>
        <v>Talpiot Academic College</v>
      </c>
      <c r="E190" s="137" t="str">
        <f t="shared" si="63"/>
        <v>Israel</v>
      </c>
      <c r="F190" s="84" t="s">
        <v>405</v>
      </c>
      <c r="G190" s="85" t="s">
        <v>226</v>
      </c>
      <c r="H190" s="86">
        <v>2</v>
      </c>
      <c r="I190" s="84" t="s">
        <v>396</v>
      </c>
      <c r="J190" s="84" t="s">
        <v>154</v>
      </c>
      <c r="K190" s="86">
        <v>5</v>
      </c>
      <c r="L190" s="87">
        <f t="shared" si="64"/>
        <v>550</v>
      </c>
      <c r="M190" s="88">
        <f t="shared" si="65"/>
        <v>1200</v>
      </c>
      <c r="N190" s="89">
        <f t="shared" si="6"/>
        <v>1750</v>
      </c>
      <c r="O190" s="79" t="str">
        <f t="shared" si="66"/>
        <v/>
      </c>
    </row>
    <row r="191" spans="2:15" s="80" customFormat="1" x14ac:dyDescent="0.3">
      <c r="B191" s="39" t="s">
        <v>372</v>
      </c>
      <c r="C191" s="73" t="s">
        <v>18</v>
      </c>
      <c r="D191" s="137" t="str">
        <f t="shared" si="62"/>
        <v>Talpiot Academic College</v>
      </c>
      <c r="E191" s="137" t="str">
        <f t="shared" si="63"/>
        <v>Israel</v>
      </c>
      <c r="F191" s="84" t="s">
        <v>405</v>
      </c>
      <c r="G191" s="85" t="s">
        <v>226</v>
      </c>
      <c r="H191" s="86">
        <v>1</v>
      </c>
      <c r="I191" s="95" t="s">
        <v>393</v>
      </c>
      <c r="J191" s="84" t="s">
        <v>158</v>
      </c>
      <c r="K191" s="86">
        <v>5</v>
      </c>
      <c r="L191" s="87">
        <f t="shared" si="64"/>
        <v>530</v>
      </c>
      <c r="M191" s="88">
        <f t="shared" si="65"/>
        <v>600</v>
      </c>
      <c r="N191" s="89">
        <f t="shared" si="6"/>
        <v>1130</v>
      </c>
      <c r="O191" s="79" t="str">
        <f t="shared" si="66"/>
        <v/>
      </c>
    </row>
    <row r="192" spans="2:15" s="80" customFormat="1" x14ac:dyDescent="0.3">
      <c r="B192" s="39" t="s">
        <v>178</v>
      </c>
      <c r="C192" s="73" t="s">
        <v>18</v>
      </c>
      <c r="D192" s="137" t="str">
        <f t="shared" si="62"/>
        <v>Talpiot Academic College</v>
      </c>
      <c r="E192" s="137" t="str">
        <f t="shared" si="63"/>
        <v>Israel</v>
      </c>
      <c r="F192" s="84" t="s">
        <v>405</v>
      </c>
      <c r="G192" s="85" t="s">
        <v>226</v>
      </c>
      <c r="H192" s="86">
        <v>2</v>
      </c>
      <c r="I192" s="84" t="s">
        <v>394</v>
      </c>
      <c r="J192" s="84" t="s">
        <v>154</v>
      </c>
      <c r="K192" s="86">
        <v>5</v>
      </c>
      <c r="L192" s="87">
        <f t="shared" si="64"/>
        <v>550</v>
      </c>
      <c r="M192" s="88">
        <f t="shared" si="65"/>
        <v>1200</v>
      </c>
      <c r="N192" s="89">
        <f t="shared" si="6"/>
        <v>1750</v>
      </c>
      <c r="O192" s="79" t="str">
        <f t="shared" si="66"/>
        <v/>
      </c>
    </row>
    <row r="193" spans="2:15" s="80" customFormat="1" x14ac:dyDescent="0.3">
      <c r="B193" s="39" t="s">
        <v>178</v>
      </c>
      <c r="C193" s="73" t="s">
        <v>18</v>
      </c>
      <c r="D193" s="137" t="str">
        <f t="shared" si="62"/>
        <v>Talpiot Academic College</v>
      </c>
      <c r="E193" s="137" t="str">
        <f t="shared" si="63"/>
        <v>Israel</v>
      </c>
      <c r="F193" s="84" t="s">
        <v>405</v>
      </c>
      <c r="G193" s="85" t="s">
        <v>226</v>
      </c>
      <c r="H193" s="86">
        <v>2</v>
      </c>
      <c r="I193" s="84" t="s">
        <v>465</v>
      </c>
      <c r="J193" s="84" t="s">
        <v>329</v>
      </c>
      <c r="K193" s="86">
        <v>5</v>
      </c>
      <c r="L193" s="87">
        <f t="shared" si="64"/>
        <v>0</v>
      </c>
      <c r="M193" s="88">
        <f t="shared" si="65"/>
        <v>1200</v>
      </c>
      <c r="N193" s="89">
        <f t="shared" si="6"/>
        <v>1200</v>
      </c>
      <c r="O193" s="79" t="str">
        <f t="shared" si="66"/>
        <v/>
      </c>
    </row>
    <row r="194" spans="2:15" s="80" customFormat="1" x14ac:dyDescent="0.3">
      <c r="B194" s="39" t="s">
        <v>178</v>
      </c>
      <c r="C194" s="73" t="s">
        <v>18</v>
      </c>
      <c r="D194" s="137" t="str">
        <f t="shared" si="62"/>
        <v>Talpiot Academic College</v>
      </c>
      <c r="E194" s="137" t="str">
        <f t="shared" si="63"/>
        <v>Israel</v>
      </c>
      <c r="F194" s="84" t="s">
        <v>405</v>
      </c>
      <c r="G194" s="85" t="s">
        <v>228</v>
      </c>
      <c r="H194" s="86">
        <v>2</v>
      </c>
      <c r="I194" s="84" t="s">
        <v>465</v>
      </c>
      <c r="J194" s="84" t="s">
        <v>329</v>
      </c>
      <c r="K194" s="86">
        <v>4</v>
      </c>
      <c r="L194" s="87">
        <f t="shared" si="64"/>
        <v>0</v>
      </c>
      <c r="M194" s="88">
        <f t="shared" si="65"/>
        <v>440</v>
      </c>
      <c r="N194" s="89">
        <f t="shared" si="6"/>
        <v>440</v>
      </c>
      <c r="O194" s="79" t="str">
        <f t="shared" si="66"/>
        <v/>
      </c>
    </row>
    <row r="195" spans="2:15" s="80" customFormat="1" x14ac:dyDescent="0.3">
      <c r="B195" s="39" t="s">
        <v>372</v>
      </c>
      <c r="C195" s="73" t="s">
        <v>18</v>
      </c>
      <c r="D195" s="137" t="str">
        <f t="shared" si="62"/>
        <v>Talpiot Academic College</v>
      </c>
      <c r="E195" s="137" t="str">
        <f t="shared" si="63"/>
        <v>Israel</v>
      </c>
      <c r="F195" s="84" t="s">
        <v>405</v>
      </c>
      <c r="G195" s="85" t="s">
        <v>226</v>
      </c>
      <c r="H195" s="86">
        <v>1</v>
      </c>
      <c r="I195" s="84" t="s">
        <v>391</v>
      </c>
      <c r="J195" s="84" t="s">
        <v>155</v>
      </c>
      <c r="K195" s="86">
        <v>5</v>
      </c>
      <c r="L195" s="87">
        <f t="shared" si="64"/>
        <v>360</v>
      </c>
      <c r="M195" s="88">
        <f t="shared" si="65"/>
        <v>600</v>
      </c>
      <c r="N195" s="89">
        <f t="shared" si="6"/>
        <v>960</v>
      </c>
      <c r="O195" s="79" t="str">
        <f t="shared" si="66"/>
        <v/>
      </c>
    </row>
    <row r="196" spans="2:15" s="80" customFormat="1" x14ac:dyDescent="0.3">
      <c r="B196" s="39" t="s">
        <v>372</v>
      </c>
      <c r="C196" s="73" t="s">
        <v>18</v>
      </c>
      <c r="D196" s="137" t="str">
        <f t="shared" si="62"/>
        <v>Talpiot Academic College</v>
      </c>
      <c r="E196" s="137" t="str">
        <f t="shared" si="63"/>
        <v>Israel</v>
      </c>
      <c r="F196" s="84" t="s">
        <v>405</v>
      </c>
      <c r="G196" s="85" t="s">
        <v>226</v>
      </c>
      <c r="H196" s="86">
        <v>1</v>
      </c>
      <c r="I196" s="84" t="s">
        <v>395</v>
      </c>
      <c r="J196" s="84" t="s">
        <v>158</v>
      </c>
      <c r="K196" s="86">
        <v>5</v>
      </c>
      <c r="L196" s="87">
        <f t="shared" si="64"/>
        <v>530</v>
      </c>
      <c r="M196" s="88">
        <f t="shared" si="65"/>
        <v>600</v>
      </c>
      <c r="N196" s="89">
        <f t="shared" si="6"/>
        <v>1130</v>
      </c>
      <c r="O196" s="79" t="str">
        <f t="shared" si="66"/>
        <v/>
      </c>
    </row>
    <row r="197" spans="2:15" s="80" customFormat="1" x14ac:dyDescent="0.3">
      <c r="B197" s="39" t="s">
        <v>180</v>
      </c>
      <c r="C197" s="73" t="s">
        <v>18</v>
      </c>
      <c r="D197" s="137" t="str">
        <f t="shared" si="62"/>
        <v>Talpiot Academic College</v>
      </c>
      <c r="E197" s="137" t="str">
        <f t="shared" si="63"/>
        <v>Israel</v>
      </c>
      <c r="F197" s="84" t="s">
        <v>405</v>
      </c>
      <c r="G197" s="85" t="s">
        <v>226</v>
      </c>
      <c r="H197" s="86">
        <v>30</v>
      </c>
      <c r="I197" s="95" t="s">
        <v>470</v>
      </c>
      <c r="J197" s="84" t="s">
        <v>329</v>
      </c>
      <c r="K197" s="86">
        <v>1</v>
      </c>
      <c r="L197" s="87">
        <f t="shared" si="64"/>
        <v>0</v>
      </c>
      <c r="M197" s="88">
        <f t="shared" si="65"/>
        <v>3600</v>
      </c>
      <c r="N197" s="89">
        <f t="shared" si="6"/>
        <v>3600</v>
      </c>
      <c r="O197" s="79" t="str">
        <f t="shared" si="66"/>
        <v/>
      </c>
    </row>
    <row r="198" spans="2:15" s="80" customFormat="1" x14ac:dyDescent="0.3">
      <c r="B198" s="39" t="s">
        <v>372</v>
      </c>
      <c r="C198" s="73" t="s">
        <v>18</v>
      </c>
      <c r="D198" s="137" t="str">
        <f t="shared" si="62"/>
        <v>Talpiot Academic College</v>
      </c>
      <c r="E198" s="137" t="str">
        <f t="shared" si="63"/>
        <v>Israel</v>
      </c>
      <c r="F198" s="84" t="s">
        <v>405</v>
      </c>
      <c r="G198" s="85" t="s">
        <v>226</v>
      </c>
      <c r="H198" s="86">
        <v>12</v>
      </c>
      <c r="I198" s="95" t="s">
        <v>470</v>
      </c>
      <c r="J198" s="84" t="s">
        <v>329</v>
      </c>
      <c r="K198" s="86">
        <v>1</v>
      </c>
      <c r="L198" s="87">
        <f t="shared" si="64"/>
        <v>0</v>
      </c>
      <c r="M198" s="88">
        <f t="shared" si="65"/>
        <v>1440</v>
      </c>
      <c r="N198" s="89">
        <f t="shared" si="6"/>
        <v>1440</v>
      </c>
      <c r="O198" s="79" t="str">
        <f t="shared" si="66"/>
        <v/>
      </c>
    </row>
    <row r="199" spans="2:15" s="80" customFormat="1" x14ac:dyDescent="0.3">
      <c r="B199" s="39" t="s">
        <v>178</v>
      </c>
      <c r="C199" s="73" t="s">
        <v>18</v>
      </c>
      <c r="D199" s="137" t="str">
        <f t="shared" si="62"/>
        <v>Talpiot Academic College</v>
      </c>
      <c r="E199" s="137" t="str">
        <f t="shared" si="63"/>
        <v>Israel</v>
      </c>
      <c r="F199" s="84" t="s">
        <v>405</v>
      </c>
      <c r="G199" s="85" t="s">
        <v>226</v>
      </c>
      <c r="H199" s="86">
        <v>2</v>
      </c>
      <c r="I199" s="84" t="s">
        <v>401</v>
      </c>
      <c r="J199" s="84" t="s">
        <v>155</v>
      </c>
      <c r="K199" s="86">
        <v>5</v>
      </c>
      <c r="L199" s="87">
        <f t="shared" si="64"/>
        <v>720</v>
      </c>
      <c r="M199" s="88">
        <f t="shared" si="65"/>
        <v>1200</v>
      </c>
      <c r="N199" s="89">
        <f t="shared" si="6"/>
        <v>1920</v>
      </c>
      <c r="O199" s="79" t="str">
        <f t="shared" si="66"/>
        <v/>
      </c>
    </row>
    <row r="200" spans="2:15" s="80" customFormat="1" x14ac:dyDescent="0.3">
      <c r="B200" s="39" t="s">
        <v>178</v>
      </c>
      <c r="C200" s="73" t="s">
        <v>18</v>
      </c>
      <c r="D200" s="137" t="str">
        <f t="shared" si="62"/>
        <v>Talpiot Academic College</v>
      </c>
      <c r="E200" s="137" t="str">
        <f t="shared" si="63"/>
        <v>Israel</v>
      </c>
      <c r="F200" s="84" t="s">
        <v>405</v>
      </c>
      <c r="G200" s="85" t="s">
        <v>228</v>
      </c>
      <c r="H200" s="86">
        <v>2</v>
      </c>
      <c r="I200" s="84" t="s">
        <v>401</v>
      </c>
      <c r="J200" s="84" t="s">
        <v>155</v>
      </c>
      <c r="K200" s="86">
        <v>14</v>
      </c>
      <c r="L200" s="87">
        <f t="shared" si="64"/>
        <v>720</v>
      </c>
      <c r="M200" s="88">
        <f t="shared" si="65"/>
        <v>1540</v>
      </c>
      <c r="N200" s="89">
        <f t="shared" si="6"/>
        <v>2260</v>
      </c>
      <c r="O200" s="79" t="str">
        <f t="shared" si="66"/>
        <v/>
      </c>
    </row>
    <row r="201" spans="2:15" s="80" customFormat="1" x14ac:dyDescent="0.3">
      <c r="B201" s="39" t="s">
        <v>178</v>
      </c>
      <c r="C201" s="73" t="s">
        <v>19</v>
      </c>
      <c r="D201" s="137" t="str">
        <f t="shared" si="62"/>
        <v>The University of Salzburg</v>
      </c>
      <c r="E201" s="137" t="str">
        <f t="shared" si="63"/>
        <v>Austria</v>
      </c>
      <c r="F201" s="84" t="s">
        <v>401</v>
      </c>
      <c r="G201" s="85" t="s">
        <v>226</v>
      </c>
      <c r="H201" s="86">
        <v>2</v>
      </c>
      <c r="I201" s="84" t="s">
        <v>390</v>
      </c>
      <c r="J201" s="84" t="s">
        <v>154</v>
      </c>
      <c r="K201" s="86">
        <v>5</v>
      </c>
      <c r="L201" s="87">
        <f t="shared" si="64"/>
        <v>550</v>
      </c>
      <c r="M201" s="88">
        <f t="shared" si="65"/>
        <v>1200</v>
      </c>
      <c r="N201" s="89">
        <f t="shared" si="6"/>
        <v>1750</v>
      </c>
      <c r="O201" s="79" t="str">
        <f t="shared" si="66"/>
        <v/>
      </c>
    </row>
    <row r="202" spans="2:15" s="80" customFormat="1" x14ac:dyDescent="0.3">
      <c r="B202" s="39" t="s">
        <v>178</v>
      </c>
      <c r="C202" s="73" t="s">
        <v>19</v>
      </c>
      <c r="D202" s="137" t="str">
        <f t="shared" si="62"/>
        <v>The University of Salzburg</v>
      </c>
      <c r="E202" s="137" t="str">
        <f t="shared" si="63"/>
        <v>Austria</v>
      </c>
      <c r="F202" s="84" t="s">
        <v>401</v>
      </c>
      <c r="G202" s="85" t="s">
        <v>226</v>
      </c>
      <c r="H202" s="86">
        <v>3</v>
      </c>
      <c r="I202" s="84" t="s">
        <v>389</v>
      </c>
      <c r="J202" s="84" t="s">
        <v>155</v>
      </c>
      <c r="K202" s="86">
        <v>5</v>
      </c>
      <c r="L202" s="87">
        <f t="shared" si="64"/>
        <v>1080</v>
      </c>
      <c r="M202" s="88">
        <f t="shared" si="65"/>
        <v>1800</v>
      </c>
      <c r="N202" s="89">
        <f t="shared" si="6"/>
        <v>2880</v>
      </c>
      <c r="O202" s="79" t="str">
        <f t="shared" si="66"/>
        <v/>
      </c>
    </row>
    <row r="203" spans="2:15" s="80" customFormat="1" x14ac:dyDescent="0.3">
      <c r="B203" s="39" t="s">
        <v>366</v>
      </c>
      <c r="C203" s="73" t="s">
        <v>19</v>
      </c>
      <c r="D203" s="137" t="str">
        <f t="shared" si="62"/>
        <v>The University of Salzburg</v>
      </c>
      <c r="E203" s="137" t="str">
        <f t="shared" si="63"/>
        <v>Austria</v>
      </c>
      <c r="F203" s="84" t="s">
        <v>401</v>
      </c>
      <c r="G203" s="85" t="s">
        <v>228</v>
      </c>
      <c r="H203" s="86">
        <v>2</v>
      </c>
      <c r="I203" s="84" t="s">
        <v>389</v>
      </c>
      <c r="J203" s="84" t="s">
        <v>155</v>
      </c>
      <c r="K203" s="86">
        <v>4</v>
      </c>
      <c r="L203" s="87">
        <f t="shared" si="64"/>
        <v>720</v>
      </c>
      <c r="M203" s="88">
        <f t="shared" si="65"/>
        <v>440</v>
      </c>
      <c r="N203" s="89">
        <f t="shared" si="6"/>
        <v>1160</v>
      </c>
      <c r="O203" s="79" t="str">
        <f t="shared" si="66"/>
        <v/>
      </c>
    </row>
    <row r="204" spans="2:15" s="80" customFormat="1" x14ac:dyDescent="0.3">
      <c r="B204" s="39" t="s">
        <v>372</v>
      </c>
      <c r="C204" s="73" t="s">
        <v>19</v>
      </c>
      <c r="D204" s="137" t="str">
        <f t="shared" si="62"/>
        <v>The University of Salzburg</v>
      </c>
      <c r="E204" s="137" t="str">
        <f t="shared" si="63"/>
        <v>Austria</v>
      </c>
      <c r="F204" s="84" t="s">
        <v>401</v>
      </c>
      <c r="G204" s="85" t="s">
        <v>226</v>
      </c>
      <c r="H204" s="86">
        <v>1</v>
      </c>
      <c r="I204" s="84" t="s">
        <v>393</v>
      </c>
      <c r="J204" s="84" t="s">
        <v>154</v>
      </c>
      <c r="K204" s="86">
        <v>5</v>
      </c>
      <c r="L204" s="87">
        <f t="shared" si="64"/>
        <v>275</v>
      </c>
      <c r="M204" s="88">
        <f t="shared" si="65"/>
        <v>600</v>
      </c>
      <c r="N204" s="89">
        <f t="shared" si="6"/>
        <v>875</v>
      </c>
      <c r="O204" s="79" t="str">
        <f t="shared" si="66"/>
        <v/>
      </c>
    </row>
    <row r="205" spans="2:15" s="80" customFormat="1" x14ac:dyDescent="0.3">
      <c r="B205" s="39" t="s">
        <v>372</v>
      </c>
      <c r="C205" s="73" t="s">
        <v>19</v>
      </c>
      <c r="D205" s="137" t="str">
        <f t="shared" si="62"/>
        <v>The University of Salzburg</v>
      </c>
      <c r="E205" s="137" t="str">
        <f t="shared" si="63"/>
        <v>Austria</v>
      </c>
      <c r="F205" s="84" t="s">
        <v>401</v>
      </c>
      <c r="G205" s="85" t="s">
        <v>226</v>
      </c>
      <c r="H205" s="86">
        <v>1</v>
      </c>
      <c r="I205" s="84" t="s">
        <v>396</v>
      </c>
      <c r="J205" s="84" t="s">
        <v>154</v>
      </c>
      <c r="K205" s="86">
        <v>5</v>
      </c>
      <c r="L205" s="87">
        <f t="shared" si="64"/>
        <v>275</v>
      </c>
      <c r="M205" s="88">
        <f t="shared" si="65"/>
        <v>600</v>
      </c>
      <c r="N205" s="89">
        <f t="shared" si="6"/>
        <v>875</v>
      </c>
      <c r="O205" s="79" t="str">
        <f t="shared" si="66"/>
        <v/>
      </c>
    </row>
    <row r="206" spans="2:15" s="80" customFormat="1" x14ac:dyDescent="0.3">
      <c r="B206" s="39" t="s">
        <v>178</v>
      </c>
      <c r="C206" s="73" t="s">
        <v>19</v>
      </c>
      <c r="D206" s="137" t="str">
        <f t="shared" si="62"/>
        <v>The University of Salzburg</v>
      </c>
      <c r="E206" s="137" t="str">
        <f t="shared" si="63"/>
        <v>Austria</v>
      </c>
      <c r="F206" s="84" t="s">
        <v>401</v>
      </c>
      <c r="G206" s="85" t="s">
        <v>226</v>
      </c>
      <c r="H206" s="86">
        <v>2</v>
      </c>
      <c r="I206" s="84" t="s">
        <v>392</v>
      </c>
      <c r="J206" s="84" t="s">
        <v>154</v>
      </c>
      <c r="K206" s="86">
        <v>5</v>
      </c>
      <c r="L206" s="87">
        <f t="shared" si="64"/>
        <v>550</v>
      </c>
      <c r="M206" s="88">
        <f t="shared" si="65"/>
        <v>1200</v>
      </c>
      <c r="N206" s="89">
        <f t="shared" si="6"/>
        <v>1750</v>
      </c>
      <c r="O206" s="79" t="str">
        <f t="shared" si="66"/>
        <v/>
      </c>
    </row>
    <row r="207" spans="2:15" s="80" customFormat="1" x14ac:dyDescent="0.3">
      <c r="B207" s="39" t="s">
        <v>178</v>
      </c>
      <c r="C207" s="73" t="s">
        <v>19</v>
      </c>
      <c r="D207" s="137" t="str">
        <f t="shared" si="62"/>
        <v>The University of Salzburg</v>
      </c>
      <c r="E207" s="137" t="str">
        <f t="shared" si="63"/>
        <v>Austria</v>
      </c>
      <c r="F207" s="84" t="s">
        <v>401</v>
      </c>
      <c r="G207" s="85" t="s">
        <v>226</v>
      </c>
      <c r="H207" s="86">
        <v>3</v>
      </c>
      <c r="I207" s="84" t="s">
        <v>397</v>
      </c>
      <c r="J207" s="84" t="s">
        <v>155</v>
      </c>
      <c r="K207" s="86">
        <v>5</v>
      </c>
      <c r="L207" s="87">
        <f t="shared" si="64"/>
        <v>1080</v>
      </c>
      <c r="M207" s="88">
        <f t="shared" si="65"/>
        <v>1800</v>
      </c>
      <c r="N207" s="89">
        <f t="shared" si="6"/>
        <v>2880</v>
      </c>
      <c r="O207" s="79" t="str">
        <f t="shared" si="66"/>
        <v/>
      </c>
    </row>
    <row r="208" spans="2:15" s="80" customFormat="1" x14ac:dyDescent="0.3">
      <c r="B208" s="39" t="s">
        <v>366</v>
      </c>
      <c r="C208" s="73" t="s">
        <v>19</v>
      </c>
      <c r="D208" s="137" t="str">
        <f t="shared" si="62"/>
        <v>The University of Salzburg</v>
      </c>
      <c r="E208" s="137" t="str">
        <f t="shared" si="63"/>
        <v>Austria</v>
      </c>
      <c r="F208" s="84" t="s">
        <v>401</v>
      </c>
      <c r="G208" s="85" t="s">
        <v>228</v>
      </c>
      <c r="H208" s="86">
        <v>1</v>
      </c>
      <c r="I208" s="84" t="s">
        <v>397</v>
      </c>
      <c r="J208" s="84" t="s">
        <v>155</v>
      </c>
      <c r="K208" s="86">
        <v>4</v>
      </c>
      <c r="L208" s="87">
        <f t="shared" si="64"/>
        <v>360</v>
      </c>
      <c r="M208" s="88">
        <f t="shared" si="65"/>
        <v>220</v>
      </c>
      <c r="N208" s="89">
        <f t="shared" si="6"/>
        <v>580</v>
      </c>
      <c r="O208" s="79" t="str">
        <f t="shared" si="66"/>
        <v/>
      </c>
    </row>
    <row r="209" spans="2:15" s="80" customFormat="1" x14ac:dyDescent="0.3">
      <c r="B209" s="39" t="s">
        <v>372</v>
      </c>
      <c r="C209" s="73" t="s">
        <v>19</v>
      </c>
      <c r="D209" s="137" t="str">
        <f t="shared" si="62"/>
        <v>The University of Salzburg</v>
      </c>
      <c r="E209" s="137" t="str">
        <f t="shared" si="63"/>
        <v>Austria</v>
      </c>
      <c r="F209" s="84" t="s">
        <v>401</v>
      </c>
      <c r="G209" s="85" t="s">
        <v>226</v>
      </c>
      <c r="H209" s="86">
        <v>1</v>
      </c>
      <c r="I209" s="84" t="s">
        <v>399</v>
      </c>
      <c r="J209" s="84" t="s">
        <v>155</v>
      </c>
      <c r="K209" s="86">
        <v>5</v>
      </c>
      <c r="L209" s="87">
        <f t="shared" si="64"/>
        <v>360</v>
      </c>
      <c r="M209" s="88">
        <f t="shared" si="65"/>
        <v>600</v>
      </c>
      <c r="N209" s="89">
        <f t="shared" si="6"/>
        <v>960</v>
      </c>
      <c r="O209" s="79" t="str">
        <f t="shared" si="66"/>
        <v/>
      </c>
    </row>
    <row r="210" spans="2:15" s="80" customFormat="1" x14ac:dyDescent="0.3">
      <c r="B210" s="39" t="s">
        <v>372</v>
      </c>
      <c r="C210" s="73" t="s">
        <v>19</v>
      </c>
      <c r="D210" s="137" t="str">
        <f t="shared" si="62"/>
        <v>The University of Salzburg</v>
      </c>
      <c r="E210" s="137" t="str">
        <f t="shared" si="63"/>
        <v>Austria</v>
      </c>
      <c r="F210" s="84" t="s">
        <v>401</v>
      </c>
      <c r="G210" s="85" t="s">
        <v>226</v>
      </c>
      <c r="H210" s="86">
        <v>2</v>
      </c>
      <c r="I210" s="95" t="s">
        <v>395</v>
      </c>
      <c r="J210" s="84" t="s">
        <v>154</v>
      </c>
      <c r="K210" s="86">
        <v>5</v>
      </c>
      <c r="L210" s="87">
        <f t="shared" si="64"/>
        <v>550</v>
      </c>
      <c r="M210" s="88">
        <f t="shared" si="65"/>
        <v>1200</v>
      </c>
      <c r="N210" s="89">
        <f t="shared" si="6"/>
        <v>1750</v>
      </c>
      <c r="O210" s="79" t="str">
        <f t="shared" si="66"/>
        <v/>
      </c>
    </row>
    <row r="211" spans="2:15" s="80" customFormat="1" x14ac:dyDescent="0.3">
      <c r="B211" s="39" t="s">
        <v>178</v>
      </c>
      <c r="C211" s="73" t="s">
        <v>19</v>
      </c>
      <c r="D211" s="137" t="str">
        <f t="shared" si="62"/>
        <v>The University of Salzburg</v>
      </c>
      <c r="E211" s="137" t="str">
        <f t="shared" si="63"/>
        <v>Austria</v>
      </c>
      <c r="F211" s="84" t="s">
        <v>401</v>
      </c>
      <c r="G211" s="85" t="s">
        <v>226</v>
      </c>
      <c r="H211" s="86">
        <v>2</v>
      </c>
      <c r="I211" s="84" t="s">
        <v>394</v>
      </c>
      <c r="J211" s="84" t="s">
        <v>154</v>
      </c>
      <c r="K211" s="86">
        <v>5</v>
      </c>
      <c r="L211" s="87">
        <f t="shared" si="64"/>
        <v>550</v>
      </c>
      <c r="M211" s="88">
        <f t="shared" si="65"/>
        <v>1200</v>
      </c>
      <c r="N211" s="89">
        <f t="shared" si="6"/>
        <v>1750</v>
      </c>
      <c r="O211" s="79" t="str">
        <f t="shared" si="66"/>
        <v/>
      </c>
    </row>
    <row r="212" spans="2:15" s="80" customFormat="1" x14ac:dyDescent="0.3">
      <c r="B212" s="39" t="s">
        <v>178</v>
      </c>
      <c r="C212" s="73" t="s">
        <v>19</v>
      </c>
      <c r="D212" s="137" t="str">
        <f t="shared" si="62"/>
        <v>The University of Salzburg</v>
      </c>
      <c r="E212" s="137" t="str">
        <f t="shared" si="63"/>
        <v>Austria</v>
      </c>
      <c r="F212" s="84" t="s">
        <v>401</v>
      </c>
      <c r="G212" s="85" t="s">
        <v>226</v>
      </c>
      <c r="H212" s="86">
        <v>3</v>
      </c>
      <c r="I212" s="84" t="s">
        <v>398</v>
      </c>
      <c r="J212" s="84" t="s">
        <v>155</v>
      </c>
      <c r="K212" s="86">
        <v>5</v>
      </c>
      <c r="L212" s="87">
        <f t="shared" si="64"/>
        <v>1080</v>
      </c>
      <c r="M212" s="88">
        <f t="shared" si="65"/>
        <v>1800</v>
      </c>
      <c r="N212" s="89">
        <f t="shared" si="6"/>
        <v>2880</v>
      </c>
      <c r="O212" s="79" t="str">
        <f t="shared" si="66"/>
        <v/>
      </c>
    </row>
    <row r="213" spans="2:15" s="80" customFormat="1" x14ac:dyDescent="0.3">
      <c r="B213" s="39" t="s">
        <v>366</v>
      </c>
      <c r="C213" s="73" t="s">
        <v>19</v>
      </c>
      <c r="D213" s="137" t="str">
        <f t="shared" si="62"/>
        <v>The University of Salzburg</v>
      </c>
      <c r="E213" s="137" t="str">
        <f t="shared" si="63"/>
        <v>Austria</v>
      </c>
      <c r="F213" s="84" t="s">
        <v>401</v>
      </c>
      <c r="G213" s="85" t="s">
        <v>228</v>
      </c>
      <c r="H213" s="86">
        <v>1</v>
      </c>
      <c r="I213" s="84" t="s">
        <v>398</v>
      </c>
      <c r="J213" s="84" t="s">
        <v>155</v>
      </c>
      <c r="K213" s="86">
        <v>4</v>
      </c>
      <c r="L213" s="87">
        <f t="shared" si="64"/>
        <v>360</v>
      </c>
      <c r="M213" s="88">
        <f t="shared" si="65"/>
        <v>220</v>
      </c>
      <c r="N213" s="89">
        <f t="shared" si="6"/>
        <v>580</v>
      </c>
      <c r="O213" s="79" t="str">
        <f t="shared" si="66"/>
        <v/>
      </c>
    </row>
    <row r="214" spans="2:15" s="80" customFormat="1" x14ac:dyDescent="0.3">
      <c r="B214" s="39" t="s">
        <v>372</v>
      </c>
      <c r="C214" s="73" t="s">
        <v>19</v>
      </c>
      <c r="D214" s="137" t="str">
        <f t="shared" si="62"/>
        <v>The University of Salzburg</v>
      </c>
      <c r="E214" s="137" t="str">
        <f t="shared" si="63"/>
        <v>Austria</v>
      </c>
      <c r="F214" s="84" t="s">
        <v>401</v>
      </c>
      <c r="G214" s="85" t="s">
        <v>226</v>
      </c>
      <c r="H214" s="86">
        <v>1</v>
      </c>
      <c r="I214" s="84" t="s">
        <v>396</v>
      </c>
      <c r="J214" s="84" t="s">
        <v>154</v>
      </c>
      <c r="K214" s="86">
        <v>5</v>
      </c>
      <c r="L214" s="87">
        <f t="shared" si="64"/>
        <v>275</v>
      </c>
      <c r="M214" s="88">
        <f t="shared" si="65"/>
        <v>600</v>
      </c>
      <c r="N214" s="89">
        <f t="shared" si="6"/>
        <v>875</v>
      </c>
      <c r="O214" s="79" t="str">
        <f t="shared" si="66"/>
        <v/>
      </c>
    </row>
    <row r="215" spans="2:15" s="80" customFormat="1" x14ac:dyDescent="0.3">
      <c r="B215" s="39" t="s">
        <v>372</v>
      </c>
      <c r="C215" s="73" t="s">
        <v>19</v>
      </c>
      <c r="D215" s="137" t="str">
        <f t="shared" si="62"/>
        <v>The University of Salzburg</v>
      </c>
      <c r="E215" s="137" t="str">
        <f t="shared" si="63"/>
        <v>Austria</v>
      </c>
      <c r="F215" s="84" t="s">
        <v>401</v>
      </c>
      <c r="G215" s="85" t="s">
        <v>226</v>
      </c>
      <c r="H215" s="86">
        <v>2</v>
      </c>
      <c r="I215" s="84" t="s">
        <v>393</v>
      </c>
      <c r="J215" s="84" t="s">
        <v>154</v>
      </c>
      <c r="K215" s="86">
        <v>5</v>
      </c>
      <c r="L215" s="87">
        <f t="shared" si="64"/>
        <v>550</v>
      </c>
      <c r="M215" s="88">
        <f t="shared" si="65"/>
        <v>1200</v>
      </c>
      <c r="N215" s="89">
        <f t="shared" si="6"/>
        <v>1750</v>
      </c>
      <c r="O215" s="79" t="str">
        <f t="shared" si="66"/>
        <v/>
      </c>
    </row>
    <row r="216" spans="2:15" s="80" customFormat="1" x14ac:dyDescent="0.3">
      <c r="B216" s="39" t="s">
        <v>178</v>
      </c>
      <c r="C216" s="73" t="s">
        <v>19</v>
      </c>
      <c r="D216" s="137" t="str">
        <f t="shared" si="62"/>
        <v>The University of Salzburg</v>
      </c>
      <c r="E216" s="137" t="str">
        <f t="shared" si="63"/>
        <v>Austria</v>
      </c>
      <c r="F216" s="84" t="s">
        <v>401</v>
      </c>
      <c r="G216" s="85" t="s">
        <v>226</v>
      </c>
      <c r="H216" s="86">
        <v>3</v>
      </c>
      <c r="I216" s="84" t="s">
        <v>469</v>
      </c>
      <c r="J216" s="84" t="s">
        <v>329</v>
      </c>
      <c r="K216" s="86">
        <v>5</v>
      </c>
      <c r="L216" s="87">
        <f t="shared" si="64"/>
        <v>0</v>
      </c>
      <c r="M216" s="88">
        <f t="shared" si="65"/>
        <v>1800</v>
      </c>
      <c r="N216" s="89">
        <f t="shared" si="6"/>
        <v>1800</v>
      </c>
      <c r="O216" s="79" t="str">
        <f t="shared" si="66"/>
        <v/>
      </c>
    </row>
    <row r="217" spans="2:15" s="80" customFormat="1" x14ac:dyDescent="0.3">
      <c r="B217" s="39" t="s">
        <v>178</v>
      </c>
      <c r="C217" s="73" t="s">
        <v>19</v>
      </c>
      <c r="D217" s="137" t="str">
        <f t="shared" si="62"/>
        <v>The University of Salzburg</v>
      </c>
      <c r="E217" s="137" t="str">
        <f t="shared" si="63"/>
        <v>Austria</v>
      </c>
      <c r="F217" s="84" t="s">
        <v>401</v>
      </c>
      <c r="G217" s="85" t="s">
        <v>228</v>
      </c>
      <c r="H217" s="86">
        <v>2</v>
      </c>
      <c r="I217" s="84" t="s">
        <v>469</v>
      </c>
      <c r="J217" s="84" t="s">
        <v>329</v>
      </c>
      <c r="K217" s="86">
        <v>14</v>
      </c>
      <c r="L217" s="87">
        <f t="shared" si="64"/>
        <v>0</v>
      </c>
      <c r="M217" s="88">
        <f t="shared" si="65"/>
        <v>1540</v>
      </c>
      <c r="N217" s="89">
        <f t="shared" si="6"/>
        <v>1540</v>
      </c>
      <c r="O217" s="79" t="str">
        <f t="shared" si="66"/>
        <v/>
      </c>
    </row>
    <row r="218" spans="2:15" s="80" customFormat="1" ht="90" x14ac:dyDescent="0.3">
      <c r="B218" s="39"/>
      <c r="C218" s="73"/>
      <c r="D218" s="137" t="str">
        <f t="shared" si="62"/>
        <v/>
      </c>
      <c r="E218" s="137" t="str">
        <f t="shared" si="63"/>
        <v/>
      </c>
      <c r="F218" s="95"/>
      <c r="G218" s="85"/>
      <c r="H218" s="86">
        <v>0</v>
      </c>
      <c r="I218" s="95" t="s">
        <v>471</v>
      </c>
      <c r="J218" s="84"/>
      <c r="K218" s="86">
        <v>0</v>
      </c>
      <c r="L218" s="87">
        <f t="shared" si="64"/>
        <v>0</v>
      </c>
      <c r="M218" s="88">
        <f t="shared" si="65"/>
        <v>0</v>
      </c>
      <c r="N218" s="89">
        <f t="shared" si="6"/>
        <v>0</v>
      </c>
      <c r="O218" s="79" t="str">
        <f t="shared" si="66"/>
        <v>Error</v>
      </c>
    </row>
  </sheetData>
  <sheetProtection password="E359" sheet="1" objects="1" scenarios="1" selectLockedCells="1"/>
  <dataConsolidate/>
  <mergeCells count="27">
    <mergeCell ref="O11:O12"/>
    <mergeCell ref="B2:O2"/>
    <mergeCell ref="F11:F12"/>
    <mergeCell ref="I11:I12"/>
    <mergeCell ref="H11:H12"/>
    <mergeCell ref="G11:G12"/>
    <mergeCell ref="E11:E12"/>
    <mergeCell ref="D11:D12"/>
    <mergeCell ref="N11:N12"/>
    <mergeCell ref="M11:M12"/>
    <mergeCell ref="L11:L12"/>
    <mergeCell ref="K11:K12"/>
    <mergeCell ref="J11:J12"/>
    <mergeCell ref="F8:F9"/>
    <mergeCell ref="F6:F7"/>
    <mergeCell ref="F4:F5"/>
    <mergeCell ref="E8:E9"/>
    <mergeCell ref="E6:E7"/>
    <mergeCell ref="E4:E5"/>
    <mergeCell ref="B11:B12"/>
    <mergeCell ref="C11:C12"/>
    <mergeCell ref="B9:C9"/>
    <mergeCell ref="B8:C8"/>
    <mergeCell ref="B7:C7"/>
    <mergeCell ref="B6:C6"/>
    <mergeCell ref="B5:C5"/>
    <mergeCell ref="B4:C4"/>
  </mergeCells>
  <conditionalFormatting sqref="O13:O14">
    <cfRule type="containsText" dxfId="667" priority="682" operator="containsText" text="Error">
      <formula>NOT(ISERROR(SEARCH("Error",O13)))</formula>
    </cfRule>
  </conditionalFormatting>
  <conditionalFormatting sqref="D13:E14">
    <cfRule type="containsBlanks" dxfId="666" priority="680">
      <formula>LEN(TRIM(D13))=0</formula>
    </cfRule>
  </conditionalFormatting>
  <conditionalFormatting sqref="O15">
    <cfRule type="containsText" dxfId="665" priority="474" operator="containsText" text="Error">
      <formula>NOT(ISERROR(SEARCH("Error",O15)))</formula>
    </cfRule>
  </conditionalFormatting>
  <conditionalFormatting sqref="D15:E15">
    <cfRule type="containsBlanks" dxfId="664" priority="473">
      <formula>LEN(TRIM(D15))=0</formula>
    </cfRule>
  </conditionalFormatting>
  <conditionalFormatting sqref="O16">
    <cfRule type="containsText" dxfId="663" priority="472" operator="containsText" text="Error">
      <formula>NOT(ISERROR(SEARCH("Error",O16)))</formula>
    </cfRule>
  </conditionalFormatting>
  <conditionalFormatting sqref="D16:E16">
    <cfRule type="containsBlanks" dxfId="662" priority="471">
      <formula>LEN(TRIM(D16))=0</formula>
    </cfRule>
  </conditionalFormatting>
  <conditionalFormatting sqref="O17">
    <cfRule type="containsText" dxfId="661" priority="470" operator="containsText" text="Error">
      <formula>NOT(ISERROR(SEARCH("Error",O17)))</formula>
    </cfRule>
  </conditionalFormatting>
  <conditionalFormatting sqref="D17:E17">
    <cfRule type="containsBlanks" dxfId="660" priority="469">
      <formula>LEN(TRIM(D17))=0</formula>
    </cfRule>
  </conditionalFormatting>
  <conditionalFormatting sqref="O18">
    <cfRule type="containsText" dxfId="659" priority="468" operator="containsText" text="Error">
      <formula>NOT(ISERROR(SEARCH("Error",O18)))</formula>
    </cfRule>
  </conditionalFormatting>
  <conditionalFormatting sqref="D18:E18">
    <cfRule type="containsBlanks" dxfId="658" priority="467">
      <formula>LEN(TRIM(D18))=0</formula>
    </cfRule>
  </conditionalFormatting>
  <conditionalFormatting sqref="O20">
    <cfRule type="containsText" dxfId="657" priority="466" operator="containsText" text="Error">
      <formula>NOT(ISERROR(SEARCH("Error",O20)))</formula>
    </cfRule>
  </conditionalFormatting>
  <conditionalFormatting sqref="D20:E20">
    <cfRule type="containsBlanks" dxfId="656" priority="465">
      <formula>LEN(TRIM(D20))=0</formula>
    </cfRule>
  </conditionalFormatting>
  <conditionalFormatting sqref="O21">
    <cfRule type="containsText" dxfId="655" priority="462" operator="containsText" text="Error">
      <formula>NOT(ISERROR(SEARCH("Error",O21)))</formula>
    </cfRule>
  </conditionalFormatting>
  <conditionalFormatting sqref="D21:E21">
    <cfRule type="containsBlanks" dxfId="654" priority="461">
      <formula>LEN(TRIM(D21))=0</formula>
    </cfRule>
  </conditionalFormatting>
  <conditionalFormatting sqref="O22">
    <cfRule type="containsText" dxfId="653" priority="460" operator="containsText" text="Error">
      <formula>NOT(ISERROR(SEARCH("Error",O22)))</formula>
    </cfRule>
  </conditionalFormatting>
  <conditionalFormatting sqref="D22:E22">
    <cfRule type="containsBlanks" dxfId="652" priority="459">
      <formula>LEN(TRIM(D22))=0</formula>
    </cfRule>
  </conditionalFormatting>
  <conditionalFormatting sqref="O23">
    <cfRule type="containsText" dxfId="651" priority="458" operator="containsText" text="Error">
      <formula>NOT(ISERROR(SEARCH("Error",O23)))</formula>
    </cfRule>
  </conditionalFormatting>
  <conditionalFormatting sqref="D23:E23">
    <cfRule type="containsBlanks" dxfId="650" priority="457">
      <formula>LEN(TRIM(D23))=0</formula>
    </cfRule>
  </conditionalFormatting>
  <conditionalFormatting sqref="O25">
    <cfRule type="containsText" dxfId="649" priority="456" operator="containsText" text="Error">
      <formula>NOT(ISERROR(SEARCH("Error",O25)))</formula>
    </cfRule>
  </conditionalFormatting>
  <conditionalFormatting sqref="D25:E25">
    <cfRule type="containsBlanks" dxfId="648" priority="455">
      <formula>LEN(TRIM(D25))=0</formula>
    </cfRule>
  </conditionalFormatting>
  <conditionalFormatting sqref="O26">
    <cfRule type="containsText" dxfId="647" priority="452" operator="containsText" text="Error">
      <formula>NOT(ISERROR(SEARCH("Error",O26)))</formula>
    </cfRule>
  </conditionalFormatting>
  <conditionalFormatting sqref="D26:E26">
    <cfRule type="containsBlanks" dxfId="646" priority="451">
      <formula>LEN(TRIM(D26))=0</formula>
    </cfRule>
  </conditionalFormatting>
  <conditionalFormatting sqref="O27">
    <cfRule type="containsText" dxfId="645" priority="450" operator="containsText" text="Error">
      <formula>NOT(ISERROR(SEARCH("Error",O27)))</formula>
    </cfRule>
  </conditionalFormatting>
  <conditionalFormatting sqref="D27:E27">
    <cfRule type="containsBlanks" dxfId="644" priority="449">
      <formula>LEN(TRIM(D27))=0</formula>
    </cfRule>
  </conditionalFormatting>
  <conditionalFormatting sqref="O28">
    <cfRule type="containsText" dxfId="643" priority="448" operator="containsText" text="Error">
      <formula>NOT(ISERROR(SEARCH("Error",O28)))</formula>
    </cfRule>
  </conditionalFormatting>
  <conditionalFormatting sqref="D28:E28">
    <cfRule type="containsBlanks" dxfId="642" priority="447">
      <formula>LEN(TRIM(D28))=0</formula>
    </cfRule>
  </conditionalFormatting>
  <conditionalFormatting sqref="O34">
    <cfRule type="containsText" dxfId="641" priority="446" operator="containsText" text="Error">
      <formula>NOT(ISERROR(SEARCH("Error",O34)))</formula>
    </cfRule>
  </conditionalFormatting>
  <conditionalFormatting sqref="D34:E34">
    <cfRule type="containsBlanks" dxfId="640" priority="445">
      <formula>LEN(TRIM(D34))=0</formula>
    </cfRule>
  </conditionalFormatting>
  <conditionalFormatting sqref="O35">
    <cfRule type="containsText" dxfId="639" priority="444" operator="containsText" text="Error">
      <formula>NOT(ISERROR(SEARCH("Error",O35)))</formula>
    </cfRule>
  </conditionalFormatting>
  <conditionalFormatting sqref="D35:E35">
    <cfRule type="containsBlanks" dxfId="638" priority="443">
      <formula>LEN(TRIM(D35))=0</formula>
    </cfRule>
  </conditionalFormatting>
  <conditionalFormatting sqref="O36">
    <cfRule type="containsText" dxfId="637" priority="442" operator="containsText" text="Error">
      <formula>NOT(ISERROR(SEARCH("Error",O36)))</formula>
    </cfRule>
  </conditionalFormatting>
  <conditionalFormatting sqref="D36:E36">
    <cfRule type="containsBlanks" dxfId="636" priority="441">
      <formula>LEN(TRIM(D36))=0</formula>
    </cfRule>
  </conditionalFormatting>
  <conditionalFormatting sqref="O37">
    <cfRule type="containsText" dxfId="635" priority="440" operator="containsText" text="Error">
      <formula>NOT(ISERROR(SEARCH("Error",O37)))</formula>
    </cfRule>
  </conditionalFormatting>
  <conditionalFormatting sqref="D37:E37">
    <cfRule type="containsBlanks" dxfId="634" priority="439">
      <formula>LEN(TRIM(D37))=0</formula>
    </cfRule>
  </conditionalFormatting>
  <conditionalFormatting sqref="O38">
    <cfRule type="containsText" dxfId="633" priority="438" operator="containsText" text="Error">
      <formula>NOT(ISERROR(SEARCH("Error",O38)))</formula>
    </cfRule>
  </conditionalFormatting>
  <conditionalFormatting sqref="D38:E38">
    <cfRule type="containsBlanks" dxfId="632" priority="437">
      <formula>LEN(TRIM(D38))=0</formula>
    </cfRule>
  </conditionalFormatting>
  <conditionalFormatting sqref="O40">
    <cfRule type="containsText" dxfId="631" priority="436" operator="containsText" text="Error">
      <formula>NOT(ISERROR(SEARCH("Error",O40)))</formula>
    </cfRule>
  </conditionalFormatting>
  <conditionalFormatting sqref="D40:E40">
    <cfRule type="containsBlanks" dxfId="630" priority="435">
      <formula>LEN(TRIM(D40))=0</formula>
    </cfRule>
  </conditionalFormatting>
  <conditionalFormatting sqref="O41">
    <cfRule type="containsText" dxfId="629" priority="432" operator="containsText" text="Error">
      <formula>NOT(ISERROR(SEARCH("Error",O41)))</formula>
    </cfRule>
  </conditionalFormatting>
  <conditionalFormatting sqref="D41:E41">
    <cfRule type="containsBlanks" dxfId="628" priority="431">
      <formula>LEN(TRIM(D41))=0</formula>
    </cfRule>
  </conditionalFormatting>
  <conditionalFormatting sqref="O42">
    <cfRule type="containsText" dxfId="627" priority="430" operator="containsText" text="Error">
      <formula>NOT(ISERROR(SEARCH("Error",O42)))</formula>
    </cfRule>
  </conditionalFormatting>
  <conditionalFormatting sqref="D42:E42">
    <cfRule type="containsBlanks" dxfId="626" priority="429">
      <formula>LEN(TRIM(D42))=0</formula>
    </cfRule>
  </conditionalFormatting>
  <conditionalFormatting sqref="O43">
    <cfRule type="containsText" dxfId="625" priority="428" operator="containsText" text="Error">
      <formula>NOT(ISERROR(SEARCH("Error",O43)))</formula>
    </cfRule>
  </conditionalFormatting>
  <conditionalFormatting sqref="D43:E43">
    <cfRule type="containsBlanks" dxfId="624" priority="427">
      <formula>LEN(TRIM(D43))=0</formula>
    </cfRule>
  </conditionalFormatting>
  <conditionalFormatting sqref="O218">
    <cfRule type="containsText" dxfId="623" priority="416" operator="containsText" text="Error">
      <formula>NOT(ISERROR(SEARCH("Error",O218)))</formula>
    </cfRule>
  </conditionalFormatting>
  <conditionalFormatting sqref="D218:E218">
    <cfRule type="containsBlanks" dxfId="622" priority="415">
      <formula>LEN(TRIM(D218))=0</formula>
    </cfRule>
  </conditionalFormatting>
  <conditionalFormatting sqref="O45">
    <cfRule type="containsText" dxfId="621" priority="410" operator="containsText" text="Error">
      <formula>NOT(ISERROR(SEARCH("Error",O45)))</formula>
    </cfRule>
  </conditionalFormatting>
  <conditionalFormatting sqref="D45:E45">
    <cfRule type="containsBlanks" dxfId="620" priority="409">
      <formula>LEN(TRIM(D45))=0</formula>
    </cfRule>
  </conditionalFormatting>
  <conditionalFormatting sqref="O46">
    <cfRule type="containsText" dxfId="619" priority="406" operator="containsText" text="Error">
      <formula>NOT(ISERROR(SEARCH("Error",O46)))</formula>
    </cfRule>
  </conditionalFormatting>
  <conditionalFormatting sqref="D46:E46">
    <cfRule type="containsBlanks" dxfId="618" priority="405">
      <formula>LEN(TRIM(D46))=0</formula>
    </cfRule>
  </conditionalFormatting>
  <conditionalFormatting sqref="O47">
    <cfRule type="containsText" dxfId="617" priority="404" operator="containsText" text="Error">
      <formula>NOT(ISERROR(SEARCH("Error",O47)))</formula>
    </cfRule>
  </conditionalFormatting>
  <conditionalFormatting sqref="D47:E47">
    <cfRule type="containsBlanks" dxfId="616" priority="403">
      <formula>LEN(TRIM(D47))=0</formula>
    </cfRule>
  </conditionalFormatting>
  <conditionalFormatting sqref="O48">
    <cfRule type="containsText" dxfId="615" priority="402" operator="containsText" text="Error">
      <formula>NOT(ISERROR(SEARCH("Error",O48)))</formula>
    </cfRule>
  </conditionalFormatting>
  <conditionalFormatting sqref="D48:E48">
    <cfRule type="containsBlanks" dxfId="614" priority="401">
      <formula>LEN(TRIM(D48))=0</formula>
    </cfRule>
  </conditionalFormatting>
  <conditionalFormatting sqref="O54">
    <cfRule type="containsText" dxfId="613" priority="400" operator="containsText" text="Error">
      <formula>NOT(ISERROR(SEARCH("Error",O54)))</formula>
    </cfRule>
  </conditionalFormatting>
  <conditionalFormatting sqref="D54:E54">
    <cfRule type="containsBlanks" dxfId="612" priority="399">
      <formula>LEN(TRIM(D54))=0</formula>
    </cfRule>
  </conditionalFormatting>
  <conditionalFormatting sqref="O55">
    <cfRule type="containsText" dxfId="611" priority="396" operator="containsText" text="Error">
      <formula>NOT(ISERROR(SEARCH("Error",O55)))</formula>
    </cfRule>
  </conditionalFormatting>
  <conditionalFormatting sqref="D55:E55">
    <cfRule type="containsBlanks" dxfId="610" priority="395">
      <formula>LEN(TRIM(D55))=0</formula>
    </cfRule>
  </conditionalFormatting>
  <conditionalFormatting sqref="O56">
    <cfRule type="containsText" dxfId="609" priority="394" operator="containsText" text="Error">
      <formula>NOT(ISERROR(SEARCH("Error",O56)))</formula>
    </cfRule>
  </conditionalFormatting>
  <conditionalFormatting sqref="D56:E56">
    <cfRule type="containsBlanks" dxfId="608" priority="393">
      <formula>LEN(TRIM(D56))=0</formula>
    </cfRule>
  </conditionalFormatting>
  <conditionalFormatting sqref="O57">
    <cfRule type="containsText" dxfId="607" priority="392" operator="containsText" text="Error">
      <formula>NOT(ISERROR(SEARCH("Error",O57)))</formula>
    </cfRule>
  </conditionalFormatting>
  <conditionalFormatting sqref="D57:E57">
    <cfRule type="containsBlanks" dxfId="606" priority="391">
      <formula>LEN(TRIM(D57))=0</formula>
    </cfRule>
  </conditionalFormatting>
  <conditionalFormatting sqref="O59">
    <cfRule type="containsText" dxfId="605" priority="390" operator="containsText" text="Error">
      <formula>NOT(ISERROR(SEARCH("Error",O59)))</formula>
    </cfRule>
  </conditionalFormatting>
  <conditionalFormatting sqref="D59:E59">
    <cfRule type="containsBlanks" dxfId="604" priority="389">
      <formula>LEN(TRIM(D59))=0</formula>
    </cfRule>
  </conditionalFormatting>
  <conditionalFormatting sqref="O60">
    <cfRule type="containsText" dxfId="603" priority="386" operator="containsText" text="Error">
      <formula>NOT(ISERROR(SEARCH("Error",O60)))</formula>
    </cfRule>
  </conditionalFormatting>
  <conditionalFormatting sqref="D60:E60">
    <cfRule type="containsBlanks" dxfId="602" priority="385">
      <formula>LEN(TRIM(D60))=0</formula>
    </cfRule>
  </conditionalFormatting>
  <conditionalFormatting sqref="O61">
    <cfRule type="containsText" dxfId="601" priority="384" operator="containsText" text="Error">
      <formula>NOT(ISERROR(SEARCH("Error",O61)))</formula>
    </cfRule>
  </conditionalFormatting>
  <conditionalFormatting sqref="D61:E61">
    <cfRule type="containsBlanks" dxfId="600" priority="383">
      <formula>LEN(TRIM(D61))=0</formula>
    </cfRule>
  </conditionalFormatting>
  <conditionalFormatting sqref="O62">
    <cfRule type="containsText" dxfId="599" priority="382" operator="containsText" text="Error">
      <formula>NOT(ISERROR(SEARCH("Error",O62)))</formula>
    </cfRule>
  </conditionalFormatting>
  <conditionalFormatting sqref="D62:E62">
    <cfRule type="containsBlanks" dxfId="598" priority="381">
      <formula>LEN(TRIM(D62))=0</formula>
    </cfRule>
  </conditionalFormatting>
  <conditionalFormatting sqref="O64">
    <cfRule type="containsText" dxfId="597" priority="380" operator="containsText" text="Error">
      <formula>NOT(ISERROR(SEARCH("Error",O64)))</formula>
    </cfRule>
  </conditionalFormatting>
  <conditionalFormatting sqref="D64:E64">
    <cfRule type="containsBlanks" dxfId="596" priority="379">
      <formula>LEN(TRIM(D64))=0</formula>
    </cfRule>
  </conditionalFormatting>
  <conditionalFormatting sqref="O65">
    <cfRule type="containsText" dxfId="595" priority="376" operator="containsText" text="Error">
      <formula>NOT(ISERROR(SEARCH("Error",O65)))</formula>
    </cfRule>
  </conditionalFormatting>
  <conditionalFormatting sqref="D65:E65">
    <cfRule type="containsBlanks" dxfId="594" priority="375">
      <formula>LEN(TRIM(D65))=0</formula>
    </cfRule>
  </conditionalFormatting>
  <conditionalFormatting sqref="O66">
    <cfRule type="containsText" dxfId="593" priority="374" operator="containsText" text="Error">
      <formula>NOT(ISERROR(SEARCH("Error",O66)))</formula>
    </cfRule>
  </conditionalFormatting>
  <conditionalFormatting sqref="D66:E66">
    <cfRule type="containsBlanks" dxfId="592" priority="373">
      <formula>LEN(TRIM(D66))=0</formula>
    </cfRule>
  </conditionalFormatting>
  <conditionalFormatting sqref="O67">
    <cfRule type="containsText" dxfId="591" priority="372" operator="containsText" text="Error">
      <formula>NOT(ISERROR(SEARCH("Error",O67)))</formula>
    </cfRule>
  </conditionalFormatting>
  <conditionalFormatting sqref="D67:E67">
    <cfRule type="containsBlanks" dxfId="590" priority="371">
      <formula>LEN(TRIM(D67))=0</formula>
    </cfRule>
  </conditionalFormatting>
  <conditionalFormatting sqref="O72">
    <cfRule type="containsText" dxfId="589" priority="370" operator="containsText" text="Error">
      <formula>NOT(ISERROR(SEARCH("Error",O72)))</formula>
    </cfRule>
  </conditionalFormatting>
  <conditionalFormatting sqref="D72:E72">
    <cfRule type="containsBlanks" dxfId="588" priority="369">
      <formula>LEN(TRIM(D72))=0</formula>
    </cfRule>
  </conditionalFormatting>
  <conditionalFormatting sqref="O73">
    <cfRule type="containsText" dxfId="587" priority="368" operator="containsText" text="Error">
      <formula>NOT(ISERROR(SEARCH("Error",O73)))</formula>
    </cfRule>
  </conditionalFormatting>
  <conditionalFormatting sqref="D73:E73">
    <cfRule type="containsBlanks" dxfId="586" priority="367">
      <formula>LEN(TRIM(D73))=0</formula>
    </cfRule>
  </conditionalFormatting>
  <conditionalFormatting sqref="O74">
    <cfRule type="containsText" dxfId="585" priority="366" operator="containsText" text="Error">
      <formula>NOT(ISERROR(SEARCH("Error",O74)))</formula>
    </cfRule>
  </conditionalFormatting>
  <conditionalFormatting sqref="D74:E74">
    <cfRule type="containsBlanks" dxfId="584" priority="365">
      <formula>LEN(TRIM(D74))=0</formula>
    </cfRule>
  </conditionalFormatting>
  <conditionalFormatting sqref="O75">
    <cfRule type="containsText" dxfId="583" priority="364" operator="containsText" text="Error">
      <formula>NOT(ISERROR(SEARCH("Error",O75)))</formula>
    </cfRule>
  </conditionalFormatting>
  <conditionalFormatting sqref="D75:E75">
    <cfRule type="containsBlanks" dxfId="582" priority="363">
      <formula>LEN(TRIM(D75))=0</formula>
    </cfRule>
  </conditionalFormatting>
  <conditionalFormatting sqref="O76">
    <cfRule type="containsText" dxfId="581" priority="362" operator="containsText" text="Error">
      <formula>NOT(ISERROR(SEARCH("Error",O76)))</formula>
    </cfRule>
  </conditionalFormatting>
  <conditionalFormatting sqref="D76:E76">
    <cfRule type="containsBlanks" dxfId="580" priority="361">
      <formula>LEN(TRIM(D76))=0</formula>
    </cfRule>
  </conditionalFormatting>
  <conditionalFormatting sqref="O78">
    <cfRule type="containsText" dxfId="579" priority="360" operator="containsText" text="Error">
      <formula>NOT(ISERROR(SEARCH("Error",O78)))</formula>
    </cfRule>
  </conditionalFormatting>
  <conditionalFormatting sqref="D78:E78">
    <cfRule type="containsBlanks" dxfId="578" priority="359">
      <formula>LEN(TRIM(D78))=0</formula>
    </cfRule>
  </conditionalFormatting>
  <conditionalFormatting sqref="O79">
    <cfRule type="containsText" dxfId="577" priority="356" operator="containsText" text="Error">
      <formula>NOT(ISERROR(SEARCH("Error",O79)))</formula>
    </cfRule>
  </conditionalFormatting>
  <conditionalFormatting sqref="D79:E79">
    <cfRule type="containsBlanks" dxfId="576" priority="355">
      <formula>LEN(TRIM(D79))=0</formula>
    </cfRule>
  </conditionalFormatting>
  <conditionalFormatting sqref="O80">
    <cfRule type="containsText" dxfId="575" priority="354" operator="containsText" text="Error">
      <formula>NOT(ISERROR(SEARCH("Error",O80)))</formula>
    </cfRule>
  </conditionalFormatting>
  <conditionalFormatting sqref="D80:E80">
    <cfRule type="containsBlanks" dxfId="574" priority="353">
      <formula>LEN(TRIM(D80))=0</formula>
    </cfRule>
  </conditionalFormatting>
  <conditionalFormatting sqref="O81">
    <cfRule type="containsText" dxfId="573" priority="352" operator="containsText" text="Error">
      <formula>NOT(ISERROR(SEARCH("Error",O81)))</formula>
    </cfRule>
  </conditionalFormatting>
  <conditionalFormatting sqref="D81:E81">
    <cfRule type="containsBlanks" dxfId="572" priority="351">
      <formula>LEN(TRIM(D81))=0</formula>
    </cfRule>
  </conditionalFormatting>
  <conditionalFormatting sqref="O83">
    <cfRule type="containsText" dxfId="571" priority="350" operator="containsText" text="Error">
      <formula>NOT(ISERROR(SEARCH("Error",O83)))</formula>
    </cfRule>
  </conditionalFormatting>
  <conditionalFormatting sqref="D83:E83">
    <cfRule type="containsBlanks" dxfId="570" priority="349">
      <formula>LEN(TRIM(D83))=0</formula>
    </cfRule>
  </conditionalFormatting>
  <conditionalFormatting sqref="O84">
    <cfRule type="containsText" dxfId="569" priority="346" operator="containsText" text="Error">
      <formula>NOT(ISERROR(SEARCH("Error",O84)))</formula>
    </cfRule>
  </conditionalFormatting>
  <conditionalFormatting sqref="D84:E84">
    <cfRule type="containsBlanks" dxfId="568" priority="345">
      <formula>LEN(TRIM(D84))=0</formula>
    </cfRule>
  </conditionalFormatting>
  <conditionalFormatting sqref="O85">
    <cfRule type="containsText" dxfId="567" priority="344" operator="containsText" text="Error">
      <formula>NOT(ISERROR(SEARCH("Error",O85)))</formula>
    </cfRule>
  </conditionalFormatting>
  <conditionalFormatting sqref="D85:E85">
    <cfRule type="containsBlanks" dxfId="566" priority="343">
      <formula>LEN(TRIM(D85))=0</formula>
    </cfRule>
  </conditionalFormatting>
  <conditionalFormatting sqref="O86">
    <cfRule type="containsText" dxfId="565" priority="342" operator="containsText" text="Error">
      <formula>NOT(ISERROR(SEARCH("Error",O86)))</formula>
    </cfRule>
  </conditionalFormatting>
  <conditionalFormatting sqref="D86:E86">
    <cfRule type="containsBlanks" dxfId="564" priority="341">
      <formula>LEN(TRIM(D86))=0</formula>
    </cfRule>
  </conditionalFormatting>
  <conditionalFormatting sqref="O92">
    <cfRule type="containsText" dxfId="563" priority="340" operator="containsText" text="Error">
      <formula>NOT(ISERROR(SEARCH("Error",O92)))</formula>
    </cfRule>
  </conditionalFormatting>
  <conditionalFormatting sqref="D92:E92">
    <cfRule type="containsBlanks" dxfId="562" priority="339">
      <formula>LEN(TRIM(D92))=0</formula>
    </cfRule>
  </conditionalFormatting>
  <conditionalFormatting sqref="O93">
    <cfRule type="containsText" dxfId="561" priority="338" operator="containsText" text="Error">
      <formula>NOT(ISERROR(SEARCH("Error",O93)))</formula>
    </cfRule>
  </conditionalFormatting>
  <conditionalFormatting sqref="D93:E93">
    <cfRule type="containsBlanks" dxfId="560" priority="337">
      <formula>LEN(TRIM(D93))=0</formula>
    </cfRule>
  </conditionalFormatting>
  <conditionalFormatting sqref="O95">
    <cfRule type="containsText" dxfId="559" priority="336" operator="containsText" text="Error">
      <formula>NOT(ISERROR(SEARCH("Error",O95)))</formula>
    </cfRule>
  </conditionalFormatting>
  <conditionalFormatting sqref="D95:E95">
    <cfRule type="containsBlanks" dxfId="558" priority="335">
      <formula>LEN(TRIM(D95))=0</formula>
    </cfRule>
  </conditionalFormatting>
  <conditionalFormatting sqref="O97">
    <cfRule type="containsText" dxfId="557" priority="334" operator="containsText" text="Error">
      <formula>NOT(ISERROR(SEARCH("Error",O97)))</formula>
    </cfRule>
  </conditionalFormatting>
  <conditionalFormatting sqref="D97:E97">
    <cfRule type="containsBlanks" dxfId="556" priority="333">
      <formula>LEN(TRIM(D97))=0</formula>
    </cfRule>
  </conditionalFormatting>
  <conditionalFormatting sqref="O98">
    <cfRule type="containsText" dxfId="555" priority="332" operator="containsText" text="Error">
      <formula>NOT(ISERROR(SEARCH("Error",O98)))</formula>
    </cfRule>
  </conditionalFormatting>
  <conditionalFormatting sqref="D98:E98">
    <cfRule type="containsBlanks" dxfId="554" priority="331">
      <formula>LEN(TRIM(D98))=0</formula>
    </cfRule>
  </conditionalFormatting>
  <conditionalFormatting sqref="O100">
    <cfRule type="containsText" dxfId="553" priority="330" operator="containsText" text="Error">
      <formula>NOT(ISERROR(SEARCH("Error",O100)))</formula>
    </cfRule>
  </conditionalFormatting>
  <conditionalFormatting sqref="D100:E100">
    <cfRule type="containsBlanks" dxfId="552" priority="329">
      <formula>LEN(TRIM(D100))=0</formula>
    </cfRule>
  </conditionalFormatting>
  <conditionalFormatting sqref="O102">
    <cfRule type="containsText" dxfId="551" priority="328" operator="containsText" text="Error">
      <formula>NOT(ISERROR(SEARCH("Error",O102)))</formula>
    </cfRule>
  </conditionalFormatting>
  <conditionalFormatting sqref="D102:E102">
    <cfRule type="containsBlanks" dxfId="550" priority="327">
      <formula>LEN(TRIM(D102))=0</formula>
    </cfRule>
  </conditionalFormatting>
  <conditionalFormatting sqref="O103">
    <cfRule type="containsText" dxfId="549" priority="324" operator="containsText" text="Error">
      <formula>NOT(ISERROR(SEARCH("Error",O103)))</formula>
    </cfRule>
  </conditionalFormatting>
  <conditionalFormatting sqref="D103:E103">
    <cfRule type="containsBlanks" dxfId="548" priority="323">
      <formula>LEN(TRIM(D103))=0</formula>
    </cfRule>
  </conditionalFormatting>
  <conditionalFormatting sqref="O105">
    <cfRule type="containsText" dxfId="547" priority="322" operator="containsText" text="Error">
      <formula>NOT(ISERROR(SEARCH("Error",O105)))</formula>
    </cfRule>
  </conditionalFormatting>
  <conditionalFormatting sqref="D105:E105">
    <cfRule type="containsBlanks" dxfId="546" priority="321">
      <formula>LEN(TRIM(D105))=0</formula>
    </cfRule>
  </conditionalFormatting>
  <conditionalFormatting sqref="O108">
    <cfRule type="containsText" dxfId="545" priority="320" operator="containsText" text="Error">
      <formula>NOT(ISERROR(SEARCH("Error",O108)))</formula>
    </cfRule>
  </conditionalFormatting>
  <conditionalFormatting sqref="D108:E108">
    <cfRule type="containsBlanks" dxfId="544" priority="319">
      <formula>LEN(TRIM(D108))=0</formula>
    </cfRule>
  </conditionalFormatting>
  <conditionalFormatting sqref="O109">
    <cfRule type="containsText" dxfId="543" priority="318" operator="containsText" text="Error">
      <formula>NOT(ISERROR(SEARCH("Error",O109)))</formula>
    </cfRule>
  </conditionalFormatting>
  <conditionalFormatting sqref="D109:E109">
    <cfRule type="containsBlanks" dxfId="542" priority="317">
      <formula>LEN(TRIM(D109))=0</formula>
    </cfRule>
  </conditionalFormatting>
  <conditionalFormatting sqref="O111">
    <cfRule type="containsText" dxfId="541" priority="316" operator="containsText" text="Error">
      <formula>NOT(ISERROR(SEARCH("Error",O111)))</formula>
    </cfRule>
  </conditionalFormatting>
  <conditionalFormatting sqref="D111:E111">
    <cfRule type="containsBlanks" dxfId="540" priority="315">
      <formula>LEN(TRIM(D111))=0</formula>
    </cfRule>
  </conditionalFormatting>
  <conditionalFormatting sqref="O113">
    <cfRule type="containsText" dxfId="539" priority="314" operator="containsText" text="Error">
      <formula>NOT(ISERROR(SEARCH("Error",O113)))</formula>
    </cfRule>
  </conditionalFormatting>
  <conditionalFormatting sqref="D113:E113">
    <cfRule type="containsBlanks" dxfId="538" priority="313">
      <formula>LEN(TRIM(D113))=0</formula>
    </cfRule>
  </conditionalFormatting>
  <conditionalFormatting sqref="O114">
    <cfRule type="containsText" dxfId="537" priority="310" operator="containsText" text="Error">
      <formula>NOT(ISERROR(SEARCH("Error",O114)))</formula>
    </cfRule>
  </conditionalFormatting>
  <conditionalFormatting sqref="D114:E114">
    <cfRule type="containsBlanks" dxfId="536" priority="309">
      <formula>LEN(TRIM(D114))=0</formula>
    </cfRule>
  </conditionalFormatting>
  <conditionalFormatting sqref="O116">
    <cfRule type="containsText" dxfId="535" priority="308" operator="containsText" text="Error">
      <formula>NOT(ISERROR(SEARCH("Error",O116)))</formula>
    </cfRule>
  </conditionalFormatting>
  <conditionalFormatting sqref="D116:E116">
    <cfRule type="containsBlanks" dxfId="534" priority="307">
      <formula>LEN(TRIM(D116))=0</formula>
    </cfRule>
  </conditionalFormatting>
  <conditionalFormatting sqref="O118">
    <cfRule type="containsText" dxfId="533" priority="306" operator="containsText" text="Error">
      <formula>NOT(ISERROR(SEARCH("Error",O118)))</formula>
    </cfRule>
  </conditionalFormatting>
  <conditionalFormatting sqref="D118:E118">
    <cfRule type="containsBlanks" dxfId="532" priority="305">
      <formula>LEN(TRIM(D118))=0</formula>
    </cfRule>
  </conditionalFormatting>
  <conditionalFormatting sqref="O119">
    <cfRule type="containsText" dxfId="531" priority="304" operator="containsText" text="Error">
      <formula>NOT(ISERROR(SEARCH("Error",O119)))</formula>
    </cfRule>
  </conditionalFormatting>
  <conditionalFormatting sqref="D119:E119">
    <cfRule type="containsBlanks" dxfId="530" priority="303">
      <formula>LEN(TRIM(D119))=0</formula>
    </cfRule>
  </conditionalFormatting>
  <conditionalFormatting sqref="O121">
    <cfRule type="containsText" dxfId="529" priority="302" operator="containsText" text="Error">
      <formula>NOT(ISERROR(SEARCH("Error",O121)))</formula>
    </cfRule>
  </conditionalFormatting>
  <conditionalFormatting sqref="D121:E121">
    <cfRule type="containsBlanks" dxfId="528" priority="301">
      <formula>LEN(TRIM(D121))=0</formula>
    </cfRule>
  </conditionalFormatting>
  <conditionalFormatting sqref="O124">
    <cfRule type="containsText" dxfId="527" priority="300" operator="containsText" text="Error">
      <formula>NOT(ISERROR(SEARCH("Error",O124)))</formula>
    </cfRule>
  </conditionalFormatting>
  <conditionalFormatting sqref="D124:E124">
    <cfRule type="containsBlanks" dxfId="526" priority="299">
      <formula>LEN(TRIM(D124))=0</formula>
    </cfRule>
  </conditionalFormatting>
  <conditionalFormatting sqref="O125">
    <cfRule type="containsText" dxfId="525" priority="298" operator="containsText" text="Error">
      <formula>NOT(ISERROR(SEARCH("Error",O125)))</formula>
    </cfRule>
  </conditionalFormatting>
  <conditionalFormatting sqref="D125:E125">
    <cfRule type="containsBlanks" dxfId="524" priority="297">
      <formula>LEN(TRIM(D125))=0</formula>
    </cfRule>
  </conditionalFormatting>
  <conditionalFormatting sqref="O126">
    <cfRule type="containsText" dxfId="523" priority="296" operator="containsText" text="Error">
      <formula>NOT(ISERROR(SEARCH("Error",O126)))</formula>
    </cfRule>
  </conditionalFormatting>
  <conditionalFormatting sqref="D126:E126">
    <cfRule type="containsBlanks" dxfId="522" priority="295">
      <formula>LEN(TRIM(D126))=0</formula>
    </cfRule>
  </conditionalFormatting>
  <conditionalFormatting sqref="O128">
    <cfRule type="containsText" dxfId="521" priority="294" operator="containsText" text="Error">
      <formula>NOT(ISERROR(SEARCH("Error",O128)))</formula>
    </cfRule>
  </conditionalFormatting>
  <conditionalFormatting sqref="D128:E128">
    <cfRule type="containsBlanks" dxfId="520" priority="293">
      <formula>LEN(TRIM(D128))=0</formula>
    </cfRule>
  </conditionalFormatting>
  <conditionalFormatting sqref="O130">
    <cfRule type="containsText" dxfId="519" priority="292" operator="containsText" text="Error">
      <formula>NOT(ISERROR(SEARCH("Error",O130)))</formula>
    </cfRule>
  </conditionalFormatting>
  <conditionalFormatting sqref="D130:E130">
    <cfRule type="containsBlanks" dxfId="518" priority="291">
      <formula>LEN(TRIM(D130))=0</formula>
    </cfRule>
  </conditionalFormatting>
  <conditionalFormatting sqref="O131">
    <cfRule type="containsText" dxfId="517" priority="290" operator="containsText" text="Error">
      <formula>NOT(ISERROR(SEARCH("Error",O131)))</formula>
    </cfRule>
  </conditionalFormatting>
  <conditionalFormatting sqref="D131:E131">
    <cfRule type="containsBlanks" dxfId="516" priority="289">
      <formula>LEN(TRIM(D131))=0</formula>
    </cfRule>
  </conditionalFormatting>
  <conditionalFormatting sqref="O133">
    <cfRule type="containsText" dxfId="515" priority="288" operator="containsText" text="Error">
      <formula>NOT(ISERROR(SEARCH("Error",O133)))</formula>
    </cfRule>
  </conditionalFormatting>
  <conditionalFormatting sqref="D133:E133">
    <cfRule type="containsBlanks" dxfId="514" priority="287">
      <formula>LEN(TRIM(D133))=0</formula>
    </cfRule>
  </conditionalFormatting>
  <conditionalFormatting sqref="O135">
    <cfRule type="containsText" dxfId="513" priority="286" operator="containsText" text="Error">
      <formula>NOT(ISERROR(SEARCH("Error",O135)))</formula>
    </cfRule>
  </conditionalFormatting>
  <conditionalFormatting sqref="D135:E135">
    <cfRule type="containsBlanks" dxfId="512" priority="285">
      <formula>LEN(TRIM(D135))=0</formula>
    </cfRule>
  </conditionalFormatting>
  <conditionalFormatting sqref="O136">
    <cfRule type="containsText" dxfId="511" priority="284" operator="containsText" text="Error">
      <formula>NOT(ISERROR(SEARCH("Error",O136)))</formula>
    </cfRule>
  </conditionalFormatting>
  <conditionalFormatting sqref="D136:E136">
    <cfRule type="containsBlanks" dxfId="510" priority="283">
      <formula>LEN(TRIM(D136))=0</formula>
    </cfRule>
  </conditionalFormatting>
  <conditionalFormatting sqref="O138">
    <cfRule type="containsText" dxfId="509" priority="282" operator="containsText" text="Error">
      <formula>NOT(ISERROR(SEARCH("Error",O138)))</formula>
    </cfRule>
  </conditionalFormatting>
  <conditionalFormatting sqref="D138:E138">
    <cfRule type="containsBlanks" dxfId="508" priority="281">
      <formula>LEN(TRIM(D138))=0</formula>
    </cfRule>
  </conditionalFormatting>
  <conditionalFormatting sqref="O141">
    <cfRule type="containsText" dxfId="507" priority="280" operator="containsText" text="Error">
      <formula>NOT(ISERROR(SEARCH("Error",O141)))</formula>
    </cfRule>
  </conditionalFormatting>
  <conditionalFormatting sqref="D141:E141">
    <cfRule type="containsBlanks" dxfId="506" priority="279">
      <formula>LEN(TRIM(D141))=0</formula>
    </cfRule>
  </conditionalFormatting>
  <conditionalFormatting sqref="O142">
    <cfRule type="containsText" dxfId="505" priority="278" operator="containsText" text="Error">
      <formula>NOT(ISERROR(SEARCH("Error",O142)))</formula>
    </cfRule>
  </conditionalFormatting>
  <conditionalFormatting sqref="D142:E142">
    <cfRule type="containsBlanks" dxfId="504" priority="277">
      <formula>LEN(TRIM(D142))=0</formula>
    </cfRule>
  </conditionalFormatting>
  <conditionalFormatting sqref="O143">
    <cfRule type="containsText" dxfId="503" priority="276" operator="containsText" text="Error">
      <formula>NOT(ISERROR(SEARCH("Error",O143)))</formula>
    </cfRule>
  </conditionalFormatting>
  <conditionalFormatting sqref="D143:E143">
    <cfRule type="containsBlanks" dxfId="502" priority="275">
      <formula>LEN(TRIM(D143))=0</formula>
    </cfRule>
  </conditionalFormatting>
  <conditionalFormatting sqref="O144">
    <cfRule type="containsText" dxfId="501" priority="274" operator="containsText" text="Error">
      <formula>NOT(ISERROR(SEARCH("Error",O144)))</formula>
    </cfRule>
  </conditionalFormatting>
  <conditionalFormatting sqref="D144:E144">
    <cfRule type="containsBlanks" dxfId="500" priority="273">
      <formula>LEN(TRIM(D144))=0</formula>
    </cfRule>
  </conditionalFormatting>
  <conditionalFormatting sqref="O145">
    <cfRule type="containsText" dxfId="499" priority="272" operator="containsText" text="Error">
      <formula>NOT(ISERROR(SEARCH("Error",O145)))</formula>
    </cfRule>
  </conditionalFormatting>
  <conditionalFormatting sqref="D145:E145">
    <cfRule type="containsBlanks" dxfId="498" priority="271">
      <formula>LEN(TRIM(D145))=0</formula>
    </cfRule>
  </conditionalFormatting>
  <conditionalFormatting sqref="O147">
    <cfRule type="containsText" dxfId="497" priority="270" operator="containsText" text="Error">
      <formula>NOT(ISERROR(SEARCH("Error",O147)))</formula>
    </cfRule>
  </conditionalFormatting>
  <conditionalFormatting sqref="D147:E147">
    <cfRule type="containsBlanks" dxfId="496" priority="269">
      <formula>LEN(TRIM(D147))=0</formula>
    </cfRule>
  </conditionalFormatting>
  <conditionalFormatting sqref="O148">
    <cfRule type="containsText" dxfId="495" priority="266" operator="containsText" text="Error">
      <formula>NOT(ISERROR(SEARCH("Error",O148)))</formula>
    </cfRule>
  </conditionalFormatting>
  <conditionalFormatting sqref="D148:E148">
    <cfRule type="containsBlanks" dxfId="494" priority="265">
      <formula>LEN(TRIM(D148))=0</formula>
    </cfRule>
  </conditionalFormatting>
  <conditionalFormatting sqref="O149">
    <cfRule type="containsText" dxfId="493" priority="264" operator="containsText" text="Error">
      <formula>NOT(ISERROR(SEARCH("Error",O149)))</formula>
    </cfRule>
  </conditionalFormatting>
  <conditionalFormatting sqref="D149:E149">
    <cfRule type="containsBlanks" dxfId="492" priority="263">
      <formula>LEN(TRIM(D149))=0</formula>
    </cfRule>
  </conditionalFormatting>
  <conditionalFormatting sqref="O150">
    <cfRule type="containsText" dxfId="491" priority="262" operator="containsText" text="Error">
      <formula>NOT(ISERROR(SEARCH("Error",O150)))</formula>
    </cfRule>
  </conditionalFormatting>
  <conditionalFormatting sqref="D150:E150">
    <cfRule type="containsBlanks" dxfId="490" priority="261">
      <formula>LEN(TRIM(D150))=0</formula>
    </cfRule>
  </conditionalFormatting>
  <conditionalFormatting sqref="O152">
    <cfRule type="containsText" dxfId="489" priority="260" operator="containsText" text="Error">
      <formula>NOT(ISERROR(SEARCH("Error",O152)))</formula>
    </cfRule>
  </conditionalFormatting>
  <conditionalFormatting sqref="D152:E152">
    <cfRule type="containsBlanks" dxfId="488" priority="259">
      <formula>LEN(TRIM(D152))=0</formula>
    </cfRule>
  </conditionalFormatting>
  <conditionalFormatting sqref="O153">
    <cfRule type="containsText" dxfId="487" priority="256" operator="containsText" text="Error">
      <formula>NOT(ISERROR(SEARCH("Error",O153)))</formula>
    </cfRule>
  </conditionalFormatting>
  <conditionalFormatting sqref="D153:E153">
    <cfRule type="containsBlanks" dxfId="486" priority="255">
      <formula>LEN(TRIM(D153))=0</formula>
    </cfRule>
  </conditionalFormatting>
  <conditionalFormatting sqref="O154">
    <cfRule type="containsText" dxfId="485" priority="254" operator="containsText" text="Error">
      <formula>NOT(ISERROR(SEARCH("Error",O154)))</formula>
    </cfRule>
  </conditionalFormatting>
  <conditionalFormatting sqref="D154:E154">
    <cfRule type="containsBlanks" dxfId="484" priority="253">
      <formula>LEN(TRIM(D154))=0</formula>
    </cfRule>
  </conditionalFormatting>
  <conditionalFormatting sqref="O155">
    <cfRule type="containsText" dxfId="483" priority="252" operator="containsText" text="Error">
      <formula>NOT(ISERROR(SEARCH("Error",O155)))</formula>
    </cfRule>
  </conditionalFormatting>
  <conditionalFormatting sqref="D155:E155">
    <cfRule type="containsBlanks" dxfId="482" priority="251">
      <formula>LEN(TRIM(D155))=0</formula>
    </cfRule>
  </conditionalFormatting>
  <conditionalFormatting sqref="O161">
    <cfRule type="containsText" dxfId="481" priority="250" operator="containsText" text="Error">
      <formula>NOT(ISERROR(SEARCH("Error",O161)))</formula>
    </cfRule>
  </conditionalFormatting>
  <conditionalFormatting sqref="D161:E161">
    <cfRule type="containsBlanks" dxfId="480" priority="249">
      <formula>LEN(TRIM(D161))=0</formula>
    </cfRule>
  </conditionalFormatting>
  <conditionalFormatting sqref="O162">
    <cfRule type="containsText" dxfId="479" priority="248" operator="containsText" text="Error">
      <formula>NOT(ISERROR(SEARCH("Error",O162)))</formula>
    </cfRule>
  </conditionalFormatting>
  <conditionalFormatting sqref="D162:E162">
    <cfRule type="containsBlanks" dxfId="478" priority="247">
      <formula>LEN(TRIM(D162))=0</formula>
    </cfRule>
  </conditionalFormatting>
  <conditionalFormatting sqref="O163">
    <cfRule type="containsText" dxfId="477" priority="246" operator="containsText" text="Error">
      <formula>NOT(ISERROR(SEARCH("Error",O163)))</formula>
    </cfRule>
  </conditionalFormatting>
  <conditionalFormatting sqref="D163:E163">
    <cfRule type="containsBlanks" dxfId="476" priority="245">
      <formula>LEN(TRIM(D163))=0</formula>
    </cfRule>
  </conditionalFormatting>
  <conditionalFormatting sqref="O164">
    <cfRule type="containsText" dxfId="475" priority="244" operator="containsText" text="Error">
      <formula>NOT(ISERROR(SEARCH("Error",O164)))</formula>
    </cfRule>
  </conditionalFormatting>
  <conditionalFormatting sqref="D164:E164">
    <cfRule type="containsBlanks" dxfId="474" priority="243">
      <formula>LEN(TRIM(D164))=0</formula>
    </cfRule>
  </conditionalFormatting>
  <conditionalFormatting sqref="O165">
    <cfRule type="containsText" dxfId="473" priority="242" operator="containsText" text="Error">
      <formula>NOT(ISERROR(SEARCH("Error",O165)))</formula>
    </cfRule>
  </conditionalFormatting>
  <conditionalFormatting sqref="D165:E165">
    <cfRule type="containsBlanks" dxfId="472" priority="241">
      <formula>LEN(TRIM(D165))=0</formula>
    </cfRule>
  </conditionalFormatting>
  <conditionalFormatting sqref="O167">
    <cfRule type="containsText" dxfId="471" priority="240" operator="containsText" text="Error">
      <formula>NOT(ISERROR(SEARCH("Error",O167)))</formula>
    </cfRule>
  </conditionalFormatting>
  <conditionalFormatting sqref="D167:E167">
    <cfRule type="containsBlanks" dxfId="470" priority="239">
      <formula>LEN(TRIM(D167))=0</formula>
    </cfRule>
  </conditionalFormatting>
  <conditionalFormatting sqref="O168">
    <cfRule type="containsText" dxfId="469" priority="236" operator="containsText" text="Error">
      <formula>NOT(ISERROR(SEARCH("Error",O168)))</formula>
    </cfRule>
  </conditionalFormatting>
  <conditionalFormatting sqref="D168:E168">
    <cfRule type="containsBlanks" dxfId="468" priority="235">
      <formula>LEN(TRIM(D168))=0</formula>
    </cfRule>
  </conditionalFormatting>
  <conditionalFormatting sqref="O169">
    <cfRule type="containsText" dxfId="467" priority="234" operator="containsText" text="Error">
      <formula>NOT(ISERROR(SEARCH("Error",O169)))</formula>
    </cfRule>
  </conditionalFormatting>
  <conditionalFormatting sqref="D169:E169">
    <cfRule type="containsBlanks" dxfId="466" priority="233">
      <formula>LEN(TRIM(D169))=0</formula>
    </cfRule>
  </conditionalFormatting>
  <conditionalFormatting sqref="O170">
    <cfRule type="containsText" dxfId="465" priority="232" operator="containsText" text="Error">
      <formula>NOT(ISERROR(SEARCH("Error",O170)))</formula>
    </cfRule>
  </conditionalFormatting>
  <conditionalFormatting sqref="D170:E170">
    <cfRule type="containsBlanks" dxfId="464" priority="231">
      <formula>LEN(TRIM(D170))=0</formula>
    </cfRule>
  </conditionalFormatting>
  <conditionalFormatting sqref="O172">
    <cfRule type="containsText" dxfId="463" priority="230" operator="containsText" text="Error">
      <formula>NOT(ISERROR(SEARCH("Error",O172)))</formula>
    </cfRule>
  </conditionalFormatting>
  <conditionalFormatting sqref="D172:E172">
    <cfRule type="containsBlanks" dxfId="462" priority="229">
      <formula>LEN(TRIM(D172))=0</formula>
    </cfRule>
  </conditionalFormatting>
  <conditionalFormatting sqref="O173">
    <cfRule type="containsText" dxfId="461" priority="226" operator="containsText" text="Error">
      <formula>NOT(ISERROR(SEARCH("Error",O173)))</formula>
    </cfRule>
  </conditionalFormatting>
  <conditionalFormatting sqref="D173:E173">
    <cfRule type="containsBlanks" dxfId="460" priority="225">
      <formula>LEN(TRIM(D173))=0</formula>
    </cfRule>
  </conditionalFormatting>
  <conditionalFormatting sqref="O174">
    <cfRule type="containsText" dxfId="459" priority="224" operator="containsText" text="Error">
      <formula>NOT(ISERROR(SEARCH("Error",O174)))</formula>
    </cfRule>
  </conditionalFormatting>
  <conditionalFormatting sqref="D174:E174">
    <cfRule type="containsBlanks" dxfId="458" priority="223">
      <formula>LEN(TRIM(D174))=0</formula>
    </cfRule>
  </conditionalFormatting>
  <conditionalFormatting sqref="O175">
    <cfRule type="containsText" dxfId="457" priority="222" operator="containsText" text="Error">
      <formula>NOT(ISERROR(SEARCH("Error",O175)))</formula>
    </cfRule>
  </conditionalFormatting>
  <conditionalFormatting sqref="D175:E175">
    <cfRule type="containsBlanks" dxfId="456" priority="221">
      <formula>LEN(TRIM(D175))=0</formula>
    </cfRule>
  </conditionalFormatting>
  <conditionalFormatting sqref="O181">
    <cfRule type="containsText" dxfId="455" priority="220" operator="containsText" text="Error">
      <formula>NOT(ISERROR(SEARCH("Error",O181)))</formula>
    </cfRule>
  </conditionalFormatting>
  <conditionalFormatting sqref="D181:E181">
    <cfRule type="containsBlanks" dxfId="454" priority="219">
      <formula>LEN(TRIM(D181))=0</formula>
    </cfRule>
  </conditionalFormatting>
  <conditionalFormatting sqref="O182">
    <cfRule type="containsText" dxfId="453" priority="218" operator="containsText" text="Error">
      <formula>NOT(ISERROR(SEARCH("Error",O182)))</formula>
    </cfRule>
  </conditionalFormatting>
  <conditionalFormatting sqref="D182:E182">
    <cfRule type="containsBlanks" dxfId="452" priority="217">
      <formula>LEN(TRIM(D182))=0</formula>
    </cfRule>
  </conditionalFormatting>
  <conditionalFormatting sqref="O183">
    <cfRule type="containsText" dxfId="451" priority="216" operator="containsText" text="Error">
      <formula>NOT(ISERROR(SEARCH("Error",O183)))</formula>
    </cfRule>
  </conditionalFormatting>
  <conditionalFormatting sqref="D183:E183">
    <cfRule type="containsBlanks" dxfId="450" priority="215">
      <formula>LEN(TRIM(D183))=0</formula>
    </cfRule>
  </conditionalFormatting>
  <conditionalFormatting sqref="O184">
    <cfRule type="containsText" dxfId="449" priority="214" operator="containsText" text="Error">
      <formula>NOT(ISERROR(SEARCH("Error",O184)))</formula>
    </cfRule>
  </conditionalFormatting>
  <conditionalFormatting sqref="D184:E184">
    <cfRule type="containsBlanks" dxfId="448" priority="213">
      <formula>LEN(TRIM(D184))=0</formula>
    </cfRule>
  </conditionalFormatting>
  <conditionalFormatting sqref="O185">
    <cfRule type="containsText" dxfId="447" priority="212" operator="containsText" text="Error">
      <formula>NOT(ISERROR(SEARCH("Error",O185)))</formula>
    </cfRule>
  </conditionalFormatting>
  <conditionalFormatting sqref="D185:E185">
    <cfRule type="containsBlanks" dxfId="446" priority="211">
      <formula>LEN(TRIM(D185))=0</formula>
    </cfRule>
  </conditionalFormatting>
  <conditionalFormatting sqref="O187">
    <cfRule type="containsText" dxfId="445" priority="210" operator="containsText" text="Error">
      <formula>NOT(ISERROR(SEARCH("Error",O187)))</formula>
    </cfRule>
  </conditionalFormatting>
  <conditionalFormatting sqref="D187:E187">
    <cfRule type="containsBlanks" dxfId="444" priority="209">
      <formula>LEN(TRIM(D187))=0</formula>
    </cfRule>
  </conditionalFormatting>
  <conditionalFormatting sqref="O188">
    <cfRule type="containsText" dxfId="443" priority="206" operator="containsText" text="Error">
      <formula>NOT(ISERROR(SEARCH("Error",O188)))</formula>
    </cfRule>
  </conditionalFormatting>
  <conditionalFormatting sqref="D188:E188">
    <cfRule type="containsBlanks" dxfId="442" priority="205">
      <formula>LEN(TRIM(D188))=0</formula>
    </cfRule>
  </conditionalFormatting>
  <conditionalFormatting sqref="O189">
    <cfRule type="containsText" dxfId="441" priority="204" operator="containsText" text="Error">
      <formula>NOT(ISERROR(SEARCH("Error",O189)))</formula>
    </cfRule>
  </conditionalFormatting>
  <conditionalFormatting sqref="D189:E189">
    <cfRule type="containsBlanks" dxfId="440" priority="203">
      <formula>LEN(TRIM(D189))=0</formula>
    </cfRule>
  </conditionalFormatting>
  <conditionalFormatting sqref="O190">
    <cfRule type="containsText" dxfId="439" priority="202" operator="containsText" text="Error">
      <formula>NOT(ISERROR(SEARCH("Error",O190)))</formula>
    </cfRule>
  </conditionalFormatting>
  <conditionalFormatting sqref="D190:E190">
    <cfRule type="containsBlanks" dxfId="438" priority="201">
      <formula>LEN(TRIM(D190))=0</formula>
    </cfRule>
  </conditionalFormatting>
  <conditionalFormatting sqref="O192">
    <cfRule type="containsText" dxfId="437" priority="200" operator="containsText" text="Error">
      <formula>NOT(ISERROR(SEARCH("Error",O192)))</formula>
    </cfRule>
  </conditionalFormatting>
  <conditionalFormatting sqref="D192:E192">
    <cfRule type="containsBlanks" dxfId="436" priority="199">
      <formula>LEN(TRIM(D192))=0</formula>
    </cfRule>
  </conditionalFormatting>
  <conditionalFormatting sqref="O193">
    <cfRule type="containsText" dxfId="435" priority="196" operator="containsText" text="Error">
      <formula>NOT(ISERROR(SEARCH("Error",O193)))</formula>
    </cfRule>
  </conditionalFormatting>
  <conditionalFormatting sqref="D193:E193">
    <cfRule type="containsBlanks" dxfId="434" priority="195">
      <formula>LEN(TRIM(D193))=0</formula>
    </cfRule>
  </conditionalFormatting>
  <conditionalFormatting sqref="O194">
    <cfRule type="containsText" dxfId="433" priority="194" operator="containsText" text="Error">
      <formula>NOT(ISERROR(SEARCH("Error",O194)))</formula>
    </cfRule>
  </conditionalFormatting>
  <conditionalFormatting sqref="D194:E194">
    <cfRule type="containsBlanks" dxfId="432" priority="193">
      <formula>LEN(TRIM(D194))=0</formula>
    </cfRule>
  </conditionalFormatting>
  <conditionalFormatting sqref="O195">
    <cfRule type="containsText" dxfId="431" priority="192" operator="containsText" text="Error">
      <formula>NOT(ISERROR(SEARCH("Error",O195)))</formula>
    </cfRule>
  </conditionalFormatting>
  <conditionalFormatting sqref="D195:E195">
    <cfRule type="containsBlanks" dxfId="430" priority="191">
      <formula>LEN(TRIM(D195))=0</formula>
    </cfRule>
  </conditionalFormatting>
  <conditionalFormatting sqref="O201">
    <cfRule type="containsText" dxfId="429" priority="190" operator="containsText" text="Error">
      <formula>NOT(ISERROR(SEARCH("Error",O201)))</formula>
    </cfRule>
  </conditionalFormatting>
  <conditionalFormatting sqref="D201:E201">
    <cfRule type="containsBlanks" dxfId="428" priority="189">
      <formula>LEN(TRIM(D201))=0</formula>
    </cfRule>
  </conditionalFormatting>
  <conditionalFormatting sqref="O202">
    <cfRule type="containsText" dxfId="427" priority="186" operator="containsText" text="Error">
      <formula>NOT(ISERROR(SEARCH("Error",O202)))</formula>
    </cfRule>
  </conditionalFormatting>
  <conditionalFormatting sqref="D202:E202">
    <cfRule type="containsBlanks" dxfId="426" priority="185">
      <formula>LEN(TRIM(D202))=0</formula>
    </cfRule>
  </conditionalFormatting>
  <conditionalFormatting sqref="O204">
    <cfRule type="containsText" dxfId="425" priority="184" operator="containsText" text="Error">
      <formula>NOT(ISERROR(SEARCH("Error",O204)))</formula>
    </cfRule>
  </conditionalFormatting>
  <conditionalFormatting sqref="D204:E204">
    <cfRule type="containsBlanks" dxfId="424" priority="183">
      <formula>LEN(TRIM(D204))=0</formula>
    </cfRule>
  </conditionalFormatting>
  <conditionalFormatting sqref="O206">
    <cfRule type="containsText" dxfId="423" priority="182" operator="containsText" text="Error">
      <formula>NOT(ISERROR(SEARCH("Error",O206)))</formula>
    </cfRule>
  </conditionalFormatting>
  <conditionalFormatting sqref="D206:E206">
    <cfRule type="containsBlanks" dxfId="422" priority="181">
      <formula>LEN(TRIM(D206))=0</formula>
    </cfRule>
  </conditionalFormatting>
  <conditionalFormatting sqref="O207">
    <cfRule type="containsText" dxfId="421" priority="178" operator="containsText" text="Error">
      <formula>NOT(ISERROR(SEARCH("Error",O207)))</formula>
    </cfRule>
  </conditionalFormatting>
  <conditionalFormatting sqref="D207:E207">
    <cfRule type="containsBlanks" dxfId="420" priority="177">
      <formula>LEN(TRIM(D207))=0</formula>
    </cfRule>
  </conditionalFormatting>
  <conditionalFormatting sqref="O209">
    <cfRule type="containsText" dxfId="419" priority="176" operator="containsText" text="Error">
      <formula>NOT(ISERROR(SEARCH("Error",O209)))</formula>
    </cfRule>
  </conditionalFormatting>
  <conditionalFormatting sqref="D209:E209">
    <cfRule type="containsBlanks" dxfId="418" priority="175">
      <formula>LEN(TRIM(D209))=0</formula>
    </cfRule>
  </conditionalFormatting>
  <conditionalFormatting sqref="O211">
    <cfRule type="containsText" dxfId="417" priority="174" operator="containsText" text="Error">
      <formula>NOT(ISERROR(SEARCH("Error",O211)))</formula>
    </cfRule>
  </conditionalFormatting>
  <conditionalFormatting sqref="D211:E211">
    <cfRule type="containsBlanks" dxfId="416" priority="173">
      <formula>LEN(TRIM(D211))=0</formula>
    </cfRule>
  </conditionalFormatting>
  <conditionalFormatting sqref="O212">
    <cfRule type="containsText" dxfId="415" priority="170" operator="containsText" text="Error">
      <formula>NOT(ISERROR(SEARCH("Error",O212)))</formula>
    </cfRule>
  </conditionalFormatting>
  <conditionalFormatting sqref="D212:E212">
    <cfRule type="containsBlanks" dxfId="414" priority="169">
      <formula>LEN(TRIM(D212))=0</formula>
    </cfRule>
  </conditionalFormatting>
  <conditionalFormatting sqref="O214">
    <cfRule type="containsText" dxfId="413" priority="168" operator="containsText" text="Error">
      <formula>NOT(ISERROR(SEARCH("Error",O214)))</formula>
    </cfRule>
  </conditionalFormatting>
  <conditionalFormatting sqref="D214:E214">
    <cfRule type="containsBlanks" dxfId="412" priority="167">
      <formula>LEN(TRIM(D214))=0</formula>
    </cfRule>
  </conditionalFormatting>
  <conditionalFormatting sqref="O216">
    <cfRule type="containsText" dxfId="411" priority="166" operator="containsText" text="Error">
      <formula>NOT(ISERROR(SEARCH("Error",O216)))</formula>
    </cfRule>
  </conditionalFormatting>
  <conditionalFormatting sqref="D216:E216">
    <cfRule type="containsBlanks" dxfId="410" priority="165">
      <formula>LEN(TRIM(D216))=0</formula>
    </cfRule>
  </conditionalFormatting>
  <conditionalFormatting sqref="O217">
    <cfRule type="containsText" dxfId="409" priority="164" operator="containsText" text="Error">
      <formula>NOT(ISERROR(SEARCH("Error",O217)))</formula>
    </cfRule>
  </conditionalFormatting>
  <conditionalFormatting sqref="D217:E217">
    <cfRule type="containsBlanks" dxfId="408" priority="163">
      <formula>LEN(TRIM(D217))=0</formula>
    </cfRule>
  </conditionalFormatting>
  <conditionalFormatting sqref="O30">
    <cfRule type="containsText" dxfId="407" priority="160" operator="containsText" text="Error">
      <formula>NOT(ISERROR(SEARCH("Error",O30)))</formula>
    </cfRule>
  </conditionalFormatting>
  <conditionalFormatting sqref="D30:E30">
    <cfRule type="containsBlanks" dxfId="406" priority="159">
      <formula>LEN(TRIM(D30))=0</formula>
    </cfRule>
  </conditionalFormatting>
  <conditionalFormatting sqref="O31">
    <cfRule type="containsText" dxfId="405" priority="158" operator="containsText" text="Error">
      <formula>NOT(ISERROR(SEARCH("Error",O31)))</formula>
    </cfRule>
  </conditionalFormatting>
  <conditionalFormatting sqref="D31:E31">
    <cfRule type="containsBlanks" dxfId="404" priority="157">
      <formula>LEN(TRIM(D31))=0</formula>
    </cfRule>
  </conditionalFormatting>
  <conditionalFormatting sqref="O50">
    <cfRule type="containsText" dxfId="403" priority="156" operator="containsText" text="Error">
      <formula>NOT(ISERROR(SEARCH("Error",O50)))</formula>
    </cfRule>
  </conditionalFormatting>
  <conditionalFormatting sqref="D50:E50">
    <cfRule type="containsBlanks" dxfId="402" priority="155">
      <formula>LEN(TRIM(D50))=0</formula>
    </cfRule>
  </conditionalFormatting>
  <conditionalFormatting sqref="O51">
    <cfRule type="containsText" dxfId="401" priority="154" operator="containsText" text="Error">
      <formula>NOT(ISERROR(SEARCH("Error",O51)))</formula>
    </cfRule>
  </conditionalFormatting>
  <conditionalFormatting sqref="D51:E51">
    <cfRule type="containsBlanks" dxfId="400" priority="153">
      <formula>LEN(TRIM(D51))=0</formula>
    </cfRule>
  </conditionalFormatting>
  <conditionalFormatting sqref="O69">
    <cfRule type="containsText" dxfId="399" priority="152" operator="containsText" text="Error">
      <formula>NOT(ISERROR(SEARCH("Error",O69)))</formula>
    </cfRule>
  </conditionalFormatting>
  <conditionalFormatting sqref="D69:E69">
    <cfRule type="containsBlanks" dxfId="398" priority="151">
      <formula>LEN(TRIM(D69))=0</formula>
    </cfRule>
  </conditionalFormatting>
  <conditionalFormatting sqref="O70">
    <cfRule type="containsText" dxfId="397" priority="150" operator="containsText" text="Error">
      <formula>NOT(ISERROR(SEARCH("Error",O70)))</formula>
    </cfRule>
  </conditionalFormatting>
  <conditionalFormatting sqref="D70:E70">
    <cfRule type="containsBlanks" dxfId="396" priority="149">
      <formula>LEN(TRIM(D70))=0</formula>
    </cfRule>
  </conditionalFormatting>
  <conditionalFormatting sqref="O88">
    <cfRule type="containsText" dxfId="395" priority="148" operator="containsText" text="Error">
      <formula>NOT(ISERROR(SEARCH("Error",O88)))</formula>
    </cfRule>
  </conditionalFormatting>
  <conditionalFormatting sqref="D88:E88">
    <cfRule type="containsBlanks" dxfId="394" priority="147">
      <formula>LEN(TRIM(D88))=0</formula>
    </cfRule>
  </conditionalFormatting>
  <conditionalFormatting sqref="O89">
    <cfRule type="containsText" dxfId="393" priority="146" operator="containsText" text="Error">
      <formula>NOT(ISERROR(SEARCH("Error",O89)))</formula>
    </cfRule>
  </conditionalFormatting>
  <conditionalFormatting sqref="D89:E89">
    <cfRule type="containsBlanks" dxfId="392" priority="145">
      <formula>LEN(TRIM(D89))=0</formula>
    </cfRule>
  </conditionalFormatting>
  <conditionalFormatting sqref="O157">
    <cfRule type="containsText" dxfId="391" priority="144" operator="containsText" text="Error">
      <formula>NOT(ISERROR(SEARCH("Error",O157)))</formula>
    </cfRule>
  </conditionalFormatting>
  <conditionalFormatting sqref="D157:E157">
    <cfRule type="containsBlanks" dxfId="390" priority="143">
      <formula>LEN(TRIM(D157))=0</formula>
    </cfRule>
  </conditionalFormatting>
  <conditionalFormatting sqref="O158">
    <cfRule type="containsText" dxfId="389" priority="142" operator="containsText" text="Error">
      <formula>NOT(ISERROR(SEARCH("Error",O158)))</formula>
    </cfRule>
  </conditionalFormatting>
  <conditionalFormatting sqref="D158:E158">
    <cfRule type="containsBlanks" dxfId="388" priority="141">
      <formula>LEN(TRIM(D158))=0</formula>
    </cfRule>
  </conditionalFormatting>
  <conditionalFormatting sqref="O177">
    <cfRule type="containsText" dxfId="387" priority="140" operator="containsText" text="Error">
      <formula>NOT(ISERROR(SEARCH("Error",O177)))</formula>
    </cfRule>
  </conditionalFormatting>
  <conditionalFormatting sqref="D177:E177">
    <cfRule type="containsBlanks" dxfId="386" priority="139">
      <formula>LEN(TRIM(D177))=0</formula>
    </cfRule>
  </conditionalFormatting>
  <conditionalFormatting sqref="O178">
    <cfRule type="containsText" dxfId="385" priority="138" operator="containsText" text="Error">
      <formula>NOT(ISERROR(SEARCH("Error",O178)))</formula>
    </cfRule>
  </conditionalFormatting>
  <conditionalFormatting sqref="D178:E178">
    <cfRule type="containsBlanks" dxfId="384" priority="137">
      <formula>LEN(TRIM(D178))=0</formula>
    </cfRule>
  </conditionalFormatting>
  <conditionalFormatting sqref="O197">
    <cfRule type="containsText" dxfId="383" priority="136" operator="containsText" text="Error">
      <formula>NOT(ISERROR(SEARCH("Error",O197)))</formula>
    </cfRule>
  </conditionalFormatting>
  <conditionalFormatting sqref="D197:E197">
    <cfRule type="containsBlanks" dxfId="382" priority="135">
      <formula>LEN(TRIM(D197))=0</formula>
    </cfRule>
  </conditionalFormatting>
  <conditionalFormatting sqref="O198">
    <cfRule type="containsText" dxfId="381" priority="134" operator="containsText" text="Error">
      <formula>NOT(ISERROR(SEARCH("Error",O198)))</formula>
    </cfRule>
  </conditionalFormatting>
  <conditionalFormatting sqref="D198:E198">
    <cfRule type="containsBlanks" dxfId="380" priority="133">
      <formula>LEN(TRIM(D198))=0</formula>
    </cfRule>
  </conditionalFormatting>
  <conditionalFormatting sqref="O32">
    <cfRule type="containsText" dxfId="379" priority="132" operator="containsText" text="Error">
      <formula>NOT(ISERROR(SEARCH("Error",O32)))</formula>
    </cfRule>
  </conditionalFormatting>
  <conditionalFormatting sqref="D32:E32">
    <cfRule type="containsBlanks" dxfId="378" priority="131">
      <formula>LEN(TRIM(D32))=0</formula>
    </cfRule>
  </conditionalFormatting>
  <conditionalFormatting sqref="O33">
    <cfRule type="containsText" dxfId="377" priority="130" operator="containsText" text="Error">
      <formula>NOT(ISERROR(SEARCH("Error",O33)))</formula>
    </cfRule>
  </conditionalFormatting>
  <conditionalFormatting sqref="D33:E33">
    <cfRule type="containsBlanks" dxfId="376" priority="129">
      <formula>LEN(TRIM(D33))=0</formula>
    </cfRule>
  </conditionalFormatting>
  <conditionalFormatting sqref="O52">
    <cfRule type="containsText" dxfId="375" priority="128" operator="containsText" text="Error">
      <formula>NOT(ISERROR(SEARCH("Error",O52)))</formula>
    </cfRule>
  </conditionalFormatting>
  <conditionalFormatting sqref="D52:E52">
    <cfRule type="containsBlanks" dxfId="374" priority="127">
      <formula>LEN(TRIM(D52))=0</formula>
    </cfRule>
  </conditionalFormatting>
  <conditionalFormatting sqref="O53">
    <cfRule type="containsText" dxfId="373" priority="126" operator="containsText" text="Error">
      <formula>NOT(ISERROR(SEARCH("Error",O53)))</formula>
    </cfRule>
  </conditionalFormatting>
  <conditionalFormatting sqref="D53:E53">
    <cfRule type="containsBlanks" dxfId="372" priority="125">
      <formula>LEN(TRIM(D53))=0</formula>
    </cfRule>
  </conditionalFormatting>
  <conditionalFormatting sqref="O71">
    <cfRule type="containsText" dxfId="371" priority="124" operator="containsText" text="Error">
      <formula>NOT(ISERROR(SEARCH("Error",O71)))</formula>
    </cfRule>
  </conditionalFormatting>
  <conditionalFormatting sqref="D71:E71">
    <cfRule type="containsBlanks" dxfId="370" priority="123">
      <formula>LEN(TRIM(D71))=0</formula>
    </cfRule>
  </conditionalFormatting>
  <conditionalFormatting sqref="O90">
    <cfRule type="containsText" dxfId="369" priority="120" operator="containsText" text="Error">
      <formula>NOT(ISERROR(SEARCH("Error",O90)))</formula>
    </cfRule>
  </conditionalFormatting>
  <conditionalFormatting sqref="D90:E90">
    <cfRule type="containsBlanks" dxfId="368" priority="119">
      <formula>LEN(TRIM(D90))=0</formula>
    </cfRule>
  </conditionalFormatting>
  <conditionalFormatting sqref="O91">
    <cfRule type="containsText" dxfId="367" priority="118" operator="containsText" text="Error">
      <formula>NOT(ISERROR(SEARCH("Error",O91)))</formula>
    </cfRule>
  </conditionalFormatting>
  <conditionalFormatting sqref="D91:E91">
    <cfRule type="containsBlanks" dxfId="366" priority="117">
      <formula>LEN(TRIM(D91))=0</formula>
    </cfRule>
  </conditionalFormatting>
  <conditionalFormatting sqref="O107">
    <cfRule type="containsText" dxfId="365" priority="116" operator="containsText" text="Error">
      <formula>NOT(ISERROR(SEARCH("Error",O107)))</formula>
    </cfRule>
  </conditionalFormatting>
  <conditionalFormatting sqref="D107:E107">
    <cfRule type="containsBlanks" dxfId="364" priority="115">
      <formula>LEN(TRIM(D107))=0</formula>
    </cfRule>
  </conditionalFormatting>
  <conditionalFormatting sqref="O123">
    <cfRule type="containsText" dxfId="363" priority="112" operator="containsText" text="Error">
      <formula>NOT(ISERROR(SEARCH("Error",O123)))</formula>
    </cfRule>
  </conditionalFormatting>
  <conditionalFormatting sqref="D123:E123">
    <cfRule type="containsBlanks" dxfId="362" priority="111">
      <formula>LEN(TRIM(D123))=0</formula>
    </cfRule>
  </conditionalFormatting>
  <conditionalFormatting sqref="O140">
    <cfRule type="containsText" dxfId="361" priority="108" operator="containsText" text="Error">
      <formula>NOT(ISERROR(SEARCH("Error",O140)))</formula>
    </cfRule>
  </conditionalFormatting>
  <conditionalFormatting sqref="D140:E140">
    <cfRule type="containsBlanks" dxfId="360" priority="107">
      <formula>LEN(TRIM(D140))=0</formula>
    </cfRule>
  </conditionalFormatting>
  <conditionalFormatting sqref="O159">
    <cfRule type="containsText" dxfId="359" priority="104" operator="containsText" text="Error">
      <formula>NOT(ISERROR(SEARCH("Error",O159)))</formula>
    </cfRule>
  </conditionalFormatting>
  <conditionalFormatting sqref="D159:E159">
    <cfRule type="containsBlanks" dxfId="358" priority="103">
      <formula>LEN(TRIM(D159))=0</formula>
    </cfRule>
  </conditionalFormatting>
  <conditionalFormatting sqref="O160">
    <cfRule type="containsText" dxfId="357" priority="102" operator="containsText" text="Error">
      <formula>NOT(ISERROR(SEARCH("Error",O160)))</formula>
    </cfRule>
  </conditionalFormatting>
  <conditionalFormatting sqref="D160:E160">
    <cfRule type="containsBlanks" dxfId="356" priority="101">
      <formula>LEN(TRIM(D160))=0</formula>
    </cfRule>
  </conditionalFormatting>
  <conditionalFormatting sqref="O179">
    <cfRule type="containsText" dxfId="355" priority="100" operator="containsText" text="Error">
      <formula>NOT(ISERROR(SEARCH("Error",O179)))</formula>
    </cfRule>
  </conditionalFormatting>
  <conditionalFormatting sqref="D179:E179">
    <cfRule type="containsBlanks" dxfId="354" priority="99">
      <formula>LEN(TRIM(D179))=0</formula>
    </cfRule>
  </conditionalFormatting>
  <conditionalFormatting sqref="O180">
    <cfRule type="containsText" dxfId="353" priority="98" operator="containsText" text="Error">
      <formula>NOT(ISERROR(SEARCH("Error",O180)))</formula>
    </cfRule>
  </conditionalFormatting>
  <conditionalFormatting sqref="D180:E180">
    <cfRule type="containsBlanks" dxfId="352" priority="97">
      <formula>LEN(TRIM(D180))=0</formula>
    </cfRule>
  </conditionalFormatting>
  <conditionalFormatting sqref="O199">
    <cfRule type="containsText" dxfId="351" priority="96" operator="containsText" text="Error">
      <formula>NOT(ISERROR(SEARCH("Error",O199)))</formula>
    </cfRule>
  </conditionalFormatting>
  <conditionalFormatting sqref="D199:E199">
    <cfRule type="containsBlanks" dxfId="350" priority="95">
      <formula>LEN(TRIM(D199))=0</formula>
    </cfRule>
  </conditionalFormatting>
  <conditionalFormatting sqref="O200">
    <cfRule type="containsText" dxfId="349" priority="94" operator="containsText" text="Error">
      <formula>NOT(ISERROR(SEARCH("Error",O200)))</formula>
    </cfRule>
  </conditionalFormatting>
  <conditionalFormatting sqref="D200:E200">
    <cfRule type="containsBlanks" dxfId="348" priority="93">
      <formula>LEN(TRIM(D200))=0</formula>
    </cfRule>
  </conditionalFormatting>
  <conditionalFormatting sqref="O19">
    <cfRule type="containsText" dxfId="347" priority="92" operator="containsText" text="Error">
      <formula>NOT(ISERROR(SEARCH("Error",O19)))</formula>
    </cfRule>
  </conditionalFormatting>
  <conditionalFormatting sqref="D19:E19">
    <cfRule type="containsBlanks" dxfId="346" priority="91">
      <formula>LEN(TRIM(D19))=0</formula>
    </cfRule>
  </conditionalFormatting>
  <conditionalFormatting sqref="O24">
    <cfRule type="containsText" dxfId="345" priority="90" operator="containsText" text="Error">
      <formula>NOT(ISERROR(SEARCH("Error",O24)))</formula>
    </cfRule>
  </conditionalFormatting>
  <conditionalFormatting sqref="D24:E24">
    <cfRule type="containsBlanks" dxfId="344" priority="89">
      <formula>LEN(TRIM(D24))=0</formula>
    </cfRule>
  </conditionalFormatting>
  <conditionalFormatting sqref="O29">
    <cfRule type="containsText" dxfId="343" priority="88" operator="containsText" text="Error">
      <formula>NOT(ISERROR(SEARCH("Error",O29)))</formula>
    </cfRule>
  </conditionalFormatting>
  <conditionalFormatting sqref="D29:E29">
    <cfRule type="containsBlanks" dxfId="342" priority="87">
      <formula>LEN(TRIM(D29))=0</formula>
    </cfRule>
  </conditionalFormatting>
  <conditionalFormatting sqref="O39">
    <cfRule type="containsText" dxfId="341" priority="86" operator="containsText" text="Error">
      <formula>NOT(ISERROR(SEARCH("Error",O39)))</formula>
    </cfRule>
  </conditionalFormatting>
  <conditionalFormatting sqref="D39:E39">
    <cfRule type="containsBlanks" dxfId="340" priority="85">
      <formula>LEN(TRIM(D39))=0</formula>
    </cfRule>
  </conditionalFormatting>
  <conditionalFormatting sqref="O44">
    <cfRule type="containsText" dxfId="339" priority="84" operator="containsText" text="Error">
      <formula>NOT(ISERROR(SEARCH("Error",O44)))</formula>
    </cfRule>
  </conditionalFormatting>
  <conditionalFormatting sqref="D44:E44">
    <cfRule type="containsBlanks" dxfId="338" priority="83">
      <formula>LEN(TRIM(D44))=0</formula>
    </cfRule>
  </conditionalFormatting>
  <conditionalFormatting sqref="O49">
    <cfRule type="containsText" dxfId="337" priority="82" operator="containsText" text="Error">
      <formula>NOT(ISERROR(SEARCH("Error",O49)))</formula>
    </cfRule>
  </conditionalFormatting>
  <conditionalFormatting sqref="D49:E49">
    <cfRule type="containsBlanks" dxfId="336" priority="81">
      <formula>LEN(TRIM(D49))=0</formula>
    </cfRule>
  </conditionalFormatting>
  <conditionalFormatting sqref="O58">
    <cfRule type="containsText" dxfId="335" priority="80" operator="containsText" text="Error">
      <formula>NOT(ISERROR(SEARCH("Error",O58)))</formula>
    </cfRule>
  </conditionalFormatting>
  <conditionalFormatting sqref="D58:E58">
    <cfRule type="containsBlanks" dxfId="334" priority="79">
      <formula>LEN(TRIM(D58))=0</formula>
    </cfRule>
  </conditionalFormatting>
  <conditionalFormatting sqref="O63">
    <cfRule type="containsText" dxfId="333" priority="78" operator="containsText" text="Error">
      <formula>NOT(ISERROR(SEARCH("Error",O63)))</formula>
    </cfRule>
  </conditionalFormatting>
  <conditionalFormatting sqref="D63:E63">
    <cfRule type="containsBlanks" dxfId="332" priority="77">
      <formula>LEN(TRIM(D63))=0</formula>
    </cfRule>
  </conditionalFormatting>
  <conditionalFormatting sqref="O68">
    <cfRule type="containsText" dxfId="331" priority="76" operator="containsText" text="Error">
      <formula>NOT(ISERROR(SEARCH("Error",O68)))</formula>
    </cfRule>
  </conditionalFormatting>
  <conditionalFormatting sqref="D68:E68">
    <cfRule type="containsBlanks" dxfId="330" priority="75">
      <formula>LEN(TRIM(D68))=0</formula>
    </cfRule>
  </conditionalFormatting>
  <conditionalFormatting sqref="O77">
    <cfRule type="containsText" dxfId="329" priority="74" operator="containsText" text="Error">
      <formula>NOT(ISERROR(SEARCH("Error",O77)))</formula>
    </cfRule>
  </conditionalFormatting>
  <conditionalFormatting sqref="D77:E77">
    <cfRule type="containsBlanks" dxfId="328" priority="73">
      <formula>LEN(TRIM(D77))=0</formula>
    </cfRule>
  </conditionalFormatting>
  <conditionalFormatting sqref="O82">
    <cfRule type="containsText" dxfId="327" priority="72" operator="containsText" text="Error">
      <formula>NOT(ISERROR(SEARCH("Error",O82)))</formula>
    </cfRule>
  </conditionalFormatting>
  <conditionalFormatting sqref="D82:E82">
    <cfRule type="containsBlanks" dxfId="326" priority="71">
      <formula>LEN(TRIM(D82))=0</formula>
    </cfRule>
  </conditionalFormatting>
  <conditionalFormatting sqref="O96">
    <cfRule type="containsText" dxfId="325" priority="68" operator="containsText" text="Error">
      <formula>NOT(ISERROR(SEARCH("Error",O96)))</formula>
    </cfRule>
  </conditionalFormatting>
  <conditionalFormatting sqref="D96:E96">
    <cfRule type="containsBlanks" dxfId="324" priority="67">
      <formula>LEN(TRIM(D96))=0</formula>
    </cfRule>
  </conditionalFormatting>
  <conditionalFormatting sqref="O101">
    <cfRule type="containsText" dxfId="323" priority="66" operator="containsText" text="Error">
      <formula>NOT(ISERROR(SEARCH("Error",O101)))</formula>
    </cfRule>
  </conditionalFormatting>
  <conditionalFormatting sqref="D101:E101">
    <cfRule type="containsBlanks" dxfId="322" priority="65">
      <formula>LEN(TRIM(D101))=0</formula>
    </cfRule>
  </conditionalFormatting>
  <conditionalFormatting sqref="O106">
    <cfRule type="containsText" dxfId="321" priority="64" operator="containsText" text="Error">
      <formula>NOT(ISERROR(SEARCH("Error",O106)))</formula>
    </cfRule>
  </conditionalFormatting>
  <conditionalFormatting sqref="D106:E106">
    <cfRule type="containsBlanks" dxfId="320" priority="63">
      <formula>LEN(TRIM(D106))=0</formula>
    </cfRule>
  </conditionalFormatting>
  <conditionalFormatting sqref="O112">
    <cfRule type="containsText" dxfId="319" priority="62" operator="containsText" text="Error">
      <formula>NOT(ISERROR(SEARCH("Error",O112)))</formula>
    </cfRule>
  </conditionalFormatting>
  <conditionalFormatting sqref="D112:E112">
    <cfRule type="containsBlanks" dxfId="318" priority="61">
      <formula>LEN(TRIM(D112))=0</formula>
    </cfRule>
  </conditionalFormatting>
  <conditionalFormatting sqref="O117">
    <cfRule type="containsText" dxfId="317" priority="60" operator="containsText" text="Error">
      <formula>NOT(ISERROR(SEARCH("Error",O117)))</formula>
    </cfRule>
  </conditionalFormatting>
  <conditionalFormatting sqref="D117:E117">
    <cfRule type="containsBlanks" dxfId="316" priority="59">
      <formula>LEN(TRIM(D117))=0</formula>
    </cfRule>
  </conditionalFormatting>
  <conditionalFormatting sqref="O122">
    <cfRule type="containsText" dxfId="315" priority="58" operator="containsText" text="Error">
      <formula>NOT(ISERROR(SEARCH("Error",O122)))</formula>
    </cfRule>
  </conditionalFormatting>
  <conditionalFormatting sqref="D122:E122">
    <cfRule type="containsBlanks" dxfId="314" priority="57">
      <formula>LEN(TRIM(D122))=0</formula>
    </cfRule>
  </conditionalFormatting>
  <conditionalFormatting sqref="O129">
    <cfRule type="containsText" dxfId="313" priority="56" operator="containsText" text="Error">
      <formula>NOT(ISERROR(SEARCH("Error",O129)))</formula>
    </cfRule>
  </conditionalFormatting>
  <conditionalFormatting sqref="D129:E129">
    <cfRule type="containsBlanks" dxfId="312" priority="55">
      <formula>LEN(TRIM(D129))=0</formula>
    </cfRule>
  </conditionalFormatting>
  <conditionalFormatting sqref="O134">
    <cfRule type="containsText" dxfId="311" priority="54" operator="containsText" text="Error">
      <formula>NOT(ISERROR(SEARCH("Error",O134)))</formula>
    </cfRule>
  </conditionalFormatting>
  <conditionalFormatting sqref="D134:E134">
    <cfRule type="containsBlanks" dxfId="310" priority="53">
      <formula>LEN(TRIM(D134))=0</formula>
    </cfRule>
  </conditionalFormatting>
  <conditionalFormatting sqref="O139">
    <cfRule type="containsText" dxfId="309" priority="52" operator="containsText" text="Error">
      <formula>NOT(ISERROR(SEARCH("Error",O139)))</formula>
    </cfRule>
  </conditionalFormatting>
  <conditionalFormatting sqref="D139:E139">
    <cfRule type="containsBlanks" dxfId="308" priority="51">
      <formula>LEN(TRIM(D139))=0</formula>
    </cfRule>
  </conditionalFormatting>
  <conditionalFormatting sqref="O146">
    <cfRule type="containsText" dxfId="307" priority="50" operator="containsText" text="Error">
      <formula>NOT(ISERROR(SEARCH("Error",O146)))</formula>
    </cfRule>
  </conditionalFormatting>
  <conditionalFormatting sqref="D146:E146">
    <cfRule type="containsBlanks" dxfId="306" priority="49">
      <formula>LEN(TRIM(D146))=0</formula>
    </cfRule>
  </conditionalFormatting>
  <conditionalFormatting sqref="O151">
    <cfRule type="containsText" dxfId="305" priority="48" operator="containsText" text="Error">
      <formula>NOT(ISERROR(SEARCH("Error",O151)))</formula>
    </cfRule>
  </conditionalFormatting>
  <conditionalFormatting sqref="D151:E151">
    <cfRule type="containsBlanks" dxfId="304" priority="47">
      <formula>LEN(TRIM(D151))=0</formula>
    </cfRule>
  </conditionalFormatting>
  <conditionalFormatting sqref="O156">
    <cfRule type="containsText" dxfId="303" priority="46" operator="containsText" text="Error">
      <formula>NOT(ISERROR(SEARCH("Error",O156)))</formula>
    </cfRule>
  </conditionalFormatting>
  <conditionalFormatting sqref="D156:E156">
    <cfRule type="containsBlanks" dxfId="302" priority="45">
      <formula>LEN(TRIM(D156))=0</formula>
    </cfRule>
  </conditionalFormatting>
  <conditionalFormatting sqref="O166">
    <cfRule type="containsText" dxfId="301" priority="44" operator="containsText" text="Error">
      <formula>NOT(ISERROR(SEARCH("Error",O166)))</formula>
    </cfRule>
  </conditionalFormatting>
  <conditionalFormatting sqref="D166:E166">
    <cfRule type="containsBlanks" dxfId="300" priority="43">
      <formula>LEN(TRIM(D166))=0</formula>
    </cfRule>
  </conditionalFormatting>
  <conditionalFormatting sqref="O171">
    <cfRule type="containsText" dxfId="299" priority="42" operator="containsText" text="Error">
      <formula>NOT(ISERROR(SEARCH("Error",O171)))</formula>
    </cfRule>
  </conditionalFormatting>
  <conditionalFormatting sqref="D171:E171">
    <cfRule type="containsBlanks" dxfId="298" priority="41">
      <formula>LEN(TRIM(D171))=0</formula>
    </cfRule>
  </conditionalFormatting>
  <conditionalFormatting sqref="O176">
    <cfRule type="containsText" dxfId="297" priority="40" operator="containsText" text="Error">
      <formula>NOT(ISERROR(SEARCH("Error",O176)))</formula>
    </cfRule>
  </conditionalFormatting>
  <conditionalFormatting sqref="D176:E176">
    <cfRule type="containsBlanks" dxfId="296" priority="39">
      <formula>LEN(TRIM(D176))=0</formula>
    </cfRule>
  </conditionalFormatting>
  <conditionalFormatting sqref="O186">
    <cfRule type="containsText" dxfId="295" priority="38" operator="containsText" text="Error">
      <formula>NOT(ISERROR(SEARCH("Error",O186)))</formula>
    </cfRule>
  </conditionalFormatting>
  <conditionalFormatting sqref="D186:E186">
    <cfRule type="containsBlanks" dxfId="294" priority="37">
      <formula>LEN(TRIM(D186))=0</formula>
    </cfRule>
  </conditionalFormatting>
  <conditionalFormatting sqref="O191">
    <cfRule type="containsText" dxfId="293" priority="36" operator="containsText" text="Error">
      <formula>NOT(ISERROR(SEARCH("Error",O191)))</formula>
    </cfRule>
  </conditionalFormatting>
  <conditionalFormatting sqref="D191:E191">
    <cfRule type="containsBlanks" dxfId="292" priority="35">
      <formula>LEN(TRIM(D191))=0</formula>
    </cfRule>
  </conditionalFormatting>
  <conditionalFormatting sqref="O196">
    <cfRule type="containsText" dxfId="291" priority="34" operator="containsText" text="Error">
      <formula>NOT(ISERROR(SEARCH("Error",O196)))</formula>
    </cfRule>
  </conditionalFormatting>
  <conditionalFormatting sqref="D196:E196">
    <cfRule type="containsBlanks" dxfId="290" priority="33">
      <formula>LEN(TRIM(D196))=0</formula>
    </cfRule>
  </conditionalFormatting>
  <conditionalFormatting sqref="O205">
    <cfRule type="containsText" dxfId="289" priority="32" operator="containsText" text="Error">
      <formula>NOT(ISERROR(SEARCH("Error",O205)))</formula>
    </cfRule>
  </conditionalFormatting>
  <conditionalFormatting sqref="D205:E205">
    <cfRule type="containsBlanks" dxfId="288" priority="31">
      <formula>LEN(TRIM(D205))=0</formula>
    </cfRule>
  </conditionalFormatting>
  <conditionalFormatting sqref="O210">
    <cfRule type="containsText" dxfId="287" priority="30" operator="containsText" text="Error">
      <formula>NOT(ISERROR(SEARCH("Error",O210)))</formula>
    </cfRule>
  </conditionalFormatting>
  <conditionalFormatting sqref="D210:E210">
    <cfRule type="containsBlanks" dxfId="286" priority="29">
      <formula>LEN(TRIM(D210))=0</formula>
    </cfRule>
  </conditionalFormatting>
  <conditionalFormatting sqref="O215">
    <cfRule type="containsText" dxfId="285" priority="28" operator="containsText" text="Error">
      <formula>NOT(ISERROR(SEARCH("Error",O215)))</formula>
    </cfRule>
  </conditionalFormatting>
  <conditionalFormatting sqref="D215:E215">
    <cfRule type="containsBlanks" dxfId="284" priority="27">
      <formula>LEN(TRIM(D215))=0</formula>
    </cfRule>
  </conditionalFormatting>
  <conditionalFormatting sqref="O87">
    <cfRule type="containsText" dxfId="283" priority="26" operator="containsText" text="Error">
      <formula>NOT(ISERROR(SEARCH("Error",O87)))</formula>
    </cfRule>
  </conditionalFormatting>
  <conditionalFormatting sqref="D87:E87">
    <cfRule type="containsBlanks" dxfId="282" priority="25">
      <formula>LEN(TRIM(D87))=0</formula>
    </cfRule>
  </conditionalFormatting>
  <conditionalFormatting sqref="O94">
    <cfRule type="containsText" dxfId="281" priority="24" operator="containsText" text="Error">
      <formula>NOT(ISERROR(SEARCH("Error",O94)))</formula>
    </cfRule>
  </conditionalFormatting>
  <conditionalFormatting sqref="D94:E94">
    <cfRule type="containsBlanks" dxfId="280" priority="23">
      <formula>LEN(TRIM(D94))=0</formula>
    </cfRule>
  </conditionalFormatting>
  <conditionalFormatting sqref="O99">
    <cfRule type="containsText" dxfId="279" priority="22" operator="containsText" text="Error">
      <formula>NOT(ISERROR(SEARCH("Error",O99)))</formula>
    </cfRule>
  </conditionalFormatting>
  <conditionalFormatting sqref="D99:E99">
    <cfRule type="containsBlanks" dxfId="278" priority="21">
      <formula>LEN(TRIM(D99))=0</formula>
    </cfRule>
  </conditionalFormatting>
  <conditionalFormatting sqref="O104">
    <cfRule type="containsText" dxfId="277" priority="20" operator="containsText" text="Error">
      <formula>NOT(ISERROR(SEARCH("Error",O104)))</formula>
    </cfRule>
  </conditionalFormatting>
  <conditionalFormatting sqref="D104:E104">
    <cfRule type="containsBlanks" dxfId="276" priority="19">
      <formula>LEN(TRIM(D104))=0</formula>
    </cfRule>
  </conditionalFormatting>
  <conditionalFormatting sqref="O110">
    <cfRule type="containsText" dxfId="275" priority="18" operator="containsText" text="Error">
      <formula>NOT(ISERROR(SEARCH("Error",O110)))</formula>
    </cfRule>
  </conditionalFormatting>
  <conditionalFormatting sqref="D110:E110">
    <cfRule type="containsBlanks" dxfId="274" priority="17">
      <formula>LEN(TRIM(D110))=0</formula>
    </cfRule>
  </conditionalFormatting>
  <conditionalFormatting sqref="O115">
    <cfRule type="containsText" dxfId="273" priority="16" operator="containsText" text="Error">
      <formula>NOT(ISERROR(SEARCH("Error",O115)))</formula>
    </cfRule>
  </conditionalFormatting>
  <conditionalFormatting sqref="D115:E115">
    <cfRule type="containsBlanks" dxfId="272" priority="15">
      <formula>LEN(TRIM(D115))=0</formula>
    </cfRule>
  </conditionalFormatting>
  <conditionalFormatting sqref="O120">
    <cfRule type="containsText" dxfId="271" priority="14" operator="containsText" text="Error">
      <formula>NOT(ISERROR(SEARCH("Error",O120)))</formula>
    </cfRule>
  </conditionalFormatting>
  <conditionalFormatting sqref="D120:E120">
    <cfRule type="containsBlanks" dxfId="270" priority="13">
      <formula>LEN(TRIM(D120))=0</formula>
    </cfRule>
  </conditionalFormatting>
  <conditionalFormatting sqref="O127">
    <cfRule type="containsText" dxfId="269" priority="12" operator="containsText" text="Error">
      <formula>NOT(ISERROR(SEARCH("Error",O127)))</formula>
    </cfRule>
  </conditionalFormatting>
  <conditionalFormatting sqref="D127:E127">
    <cfRule type="containsBlanks" dxfId="268" priority="11">
      <formula>LEN(TRIM(D127))=0</formula>
    </cfRule>
  </conditionalFormatting>
  <conditionalFormatting sqref="O132">
    <cfRule type="containsText" dxfId="267" priority="10" operator="containsText" text="Error">
      <formula>NOT(ISERROR(SEARCH("Error",O132)))</formula>
    </cfRule>
  </conditionalFormatting>
  <conditionalFormatting sqref="D132:E132">
    <cfRule type="containsBlanks" dxfId="266" priority="9">
      <formula>LEN(TRIM(D132))=0</formula>
    </cfRule>
  </conditionalFormatting>
  <conditionalFormatting sqref="O137">
    <cfRule type="containsText" dxfId="265" priority="8" operator="containsText" text="Error">
      <formula>NOT(ISERROR(SEARCH("Error",O137)))</formula>
    </cfRule>
  </conditionalFormatting>
  <conditionalFormatting sqref="D137:E137">
    <cfRule type="containsBlanks" dxfId="264" priority="7">
      <formula>LEN(TRIM(D137))=0</formula>
    </cfRule>
  </conditionalFormatting>
  <conditionalFormatting sqref="O203">
    <cfRule type="containsText" dxfId="263" priority="6" operator="containsText" text="Error">
      <formula>NOT(ISERROR(SEARCH("Error",O203)))</formula>
    </cfRule>
  </conditionalFormatting>
  <conditionalFormatting sqref="D203:E203">
    <cfRule type="containsBlanks" dxfId="262" priority="5">
      <formula>LEN(TRIM(D203))=0</formula>
    </cfRule>
  </conditionalFormatting>
  <conditionalFormatting sqref="O208">
    <cfRule type="containsText" dxfId="261" priority="4" operator="containsText" text="Error">
      <formula>NOT(ISERROR(SEARCH("Error",O208)))</formula>
    </cfRule>
  </conditionalFormatting>
  <conditionalFormatting sqref="D208:E208">
    <cfRule type="containsBlanks" dxfId="260" priority="3">
      <formula>LEN(TRIM(D208))=0</formula>
    </cfRule>
  </conditionalFormatting>
  <conditionalFormatting sqref="O213">
    <cfRule type="containsText" dxfId="259" priority="2" operator="containsText" text="Error">
      <formula>NOT(ISERROR(SEARCH("Error",O213)))</formula>
    </cfRule>
  </conditionalFormatting>
  <conditionalFormatting sqref="D213:E213">
    <cfRule type="containsBlanks" dxfId="258" priority="1">
      <formula>LEN(TRIM(D213))=0</formula>
    </cfRule>
  </conditionalFormatting>
  <dataValidations xWindow="204" yWindow="443" count="9">
    <dataValidation allowBlank="1" showInputMessage="1" errorTitle="Warning: Max Ceilings exceeded" error="Please be aware that this exceed the &quot;Ceilings&quot; for the maximum amounts for staff cost by country" sqref="L13:L218"/>
    <dataValidation allowBlank="1" showInputMessage="1" showErrorMessage="1" error="Please encode City of Destination" prompt="Please encode City of Destination" sqref="I13:I218"/>
    <dataValidation type="whole" allowBlank="1" showInputMessage="1" showErrorMessage="1" error="Format error (whole number only)" prompt="Please encode number (whole number only)" sqref="H13:H218">
      <formula1>0</formula1>
      <formula2>50000</formula2>
    </dataValidation>
    <dataValidation allowBlank="1" showInputMessage="1" showErrorMessage="1" error="Please encode City of Departure" prompt="Please encode City of Departure" sqref="F13:F218"/>
    <dataValidation type="whole" allowBlank="1" showInputMessage="1" showErrorMessage="1" error="Please encode the number of days - Max 90 days for Student and Staff (whole number only)" prompt="Please encode the number of days - Max 90 days for Student and Staff (whole number only)" sqref="K13:K218">
      <formula1>0</formula1>
      <formula2>90</formula2>
    </dataValidation>
    <dataValidation type="list" allowBlank="1" showInputMessage="1" showErrorMessage="1" error="Click arrow to select Category" prompt="Click arrow to select Category" sqref="G13:G218">
      <formula1>Category2</formula1>
    </dataValidation>
    <dataValidation type="list" allowBlank="1" showInputMessage="1" showErrorMessage="1" error="Click arrow to select Work Package" prompt="Click arrow to select Work Package" sqref="B13:B218">
      <formula1>WorkPackage</formula1>
    </dataValidation>
    <dataValidation type="list" allowBlank="1" showInputMessage="1" showErrorMessage="1" error="Click arrow to select Distance" prompt="Click arrow to select Distance" sqref="J13:J218">
      <formula1>TravelBands</formula1>
    </dataValidation>
    <dataValidation type="list" allowBlank="1" showInputMessage="1" showErrorMessage="1" error="Click arrow to select Partner N°" prompt="Click arrow to select Partner N°" sqref="C13:C218">
      <formula1>PartnerN°</formula1>
    </dataValidation>
  </dataValidations>
  <printOptions horizontalCentered="1"/>
  <pageMargins left="0.23622047244094491" right="0.23622047244094491" top="0.39370078740157483" bottom="0.94488188976377963" header="0.31496062992125984" footer="0.31496062992125984"/>
  <pageSetup paperSize="9" scale="39"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52" r:id="rId4" name="Button 3">
              <controlPr defaultSize="0" print="0" autoFill="0" autoPict="0" macro="[0]!Button3_Click">
                <anchor moveWithCells="1" sizeWithCells="1">
                  <from>
                    <xdr:col>2</xdr:col>
                    <xdr:colOff>556260</xdr:colOff>
                    <xdr:row>1</xdr:row>
                    <xdr:rowOff>83820</xdr:rowOff>
                  </from>
                  <to>
                    <xdr:col>3</xdr:col>
                    <xdr:colOff>1638300</xdr:colOff>
                    <xdr:row>1</xdr:row>
                    <xdr:rowOff>441960</xdr:rowOff>
                  </to>
                </anchor>
              </controlPr>
            </control>
          </mc:Choice>
        </mc:AlternateContent>
        <mc:AlternateContent xmlns:mc="http://schemas.openxmlformats.org/markup-compatibility/2006">
          <mc:Choice Requires="x14">
            <control shapeId="5153" r:id="rId5" name="Button 1">
              <controlPr defaultSize="0" print="0" autoFill="0" autoPict="0" macro="[0]!AddRow">
                <anchor moveWithCells="1" sizeWithCells="1">
                  <from>
                    <xdr:col>1</xdr:col>
                    <xdr:colOff>83820</xdr:colOff>
                    <xdr:row>1</xdr:row>
                    <xdr:rowOff>76200</xdr:rowOff>
                  </from>
                  <to>
                    <xdr:col>1</xdr:col>
                    <xdr:colOff>1668780</xdr:colOff>
                    <xdr:row>1</xdr:row>
                    <xdr:rowOff>441960</xdr:rowOff>
                  </to>
                </anchor>
              </controlPr>
            </control>
          </mc:Choice>
        </mc:AlternateContent>
        <mc:AlternateContent xmlns:mc="http://schemas.openxmlformats.org/markup-compatibility/2006">
          <mc:Choice Requires="x14">
            <control shapeId="5154" r:id="rId6" name="Button 2">
              <controlPr defaultSize="0" print="0" autoFill="0" autoPict="0" macro="[0]!DeleteRow">
                <anchor moveWithCells="1" sizeWithCells="1">
                  <from>
                    <xdr:col>1</xdr:col>
                    <xdr:colOff>1744980</xdr:colOff>
                    <xdr:row>1</xdr:row>
                    <xdr:rowOff>76200</xdr:rowOff>
                  </from>
                  <to>
                    <xdr:col>2</xdr:col>
                    <xdr:colOff>464820</xdr:colOff>
                    <xdr:row>1</xdr:row>
                    <xdr:rowOff>441960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3" tint="0.39997558519241921"/>
    <pageSetUpPr fitToPage="1"/>
  </sheetPr>
  <dimension ref="B1:I20"/>
  <sheetViews>
    <sheetView showGridLines="0" zoomScale="50" zoomScaleNormal="50" zoomScaleSheetLayoutView="55" workbookViewId="0">
      <pane ySplit="13" topLeftCell="A14" activePane="bottomLeft" state="frozen"/>
      <selection pane="bottomLeft" activeCell="F18" sqref="F18"/>
    </sheetView>
  </sheetViews>
  <sheetFormatPr defaultColWidth="9.109375" defaultRowHeight="18" x14ac:dyDescent="0.35"/>
  <cols>
    <col min="1" max="1" width="1.6640625" style="16" customWidth="1"/>
    <col min="2" max="2" width="42.6640625" style="16" customWidth="1"/>
    <col min="3" max="3" width="10.6640625" style="16" customWidth="1"/>
    <col min="4" max="5" width="50.6640625" style="16" customWidth="1"/>
    <col min="6" max="6" width="120.6640625" style="16" customWidth="1"/>
    <col min="7" max="8" width="20.6640625" style="16" customWidth="1"/>
    <col min="9" max="9" width="11.33203125" style="16" bestFit="1" customWidth="1"/>
    <col min="10" max="10" width="1.6640625" style="16" customWidth="1"/>
    <col min="11" max="16384" width="9.109375" style="16"/>
  </cols>
  <sheetData>
    <row r="1" spans="2:9" ht="8.1" customHeight="1" x14ac:dyDescent="0.35"/>
    <row r="2" spans="2:9" s="46" customFormat="1" ht="39.9" customHeight="1" x14ac:dyDescent="0.35">
      <c r="B2" s="158" t="s">
        <v>191</v>
      </c>
      <c r="C2" s="158"/>
      <c r="D2" s="158"/>
      <c r="E2" s="158"/>
      <c r="F2" s="158"/>
      <c r="G2" s="158"/>
      <c r="H2" s="158"/>
      <c r="I2" s="158"/>
    </row>
    <row r="3" spans="2:9" s="46" customFormat="1" ht="8.1" customHeight="1" x14ac:dyDescent="0.35">
      <c r="B3" s="81"/>
      <c r="F3" s="124"/>
      <c r="G3" s="124"/>
      <c r="H3" s="124"/>
      <c r="I3" s="67"/>
    </row>
    <row r="4" spans="2:9" s="46" customFormat="1" ht="9.9" customHeight="1" x14ac:dyDescent="0.35">
      <c r="B4" s="196" t="s">
        <v>190</v>
      </c>
      <c r="C4" s="199">
        <f>SUM(H:H)</f>
        <v>48510</v>
      </c>
      <c r="D4" s="200"/>
      <c r="F4" s="124"/>
      <c r="G4" s="124"/>
      <c r="H4" s="124"/>
      <c r="I4" s="67"/>
    </row>
    <row r="5" spans="2:9" s="46" customFormat="1" ht="9.9" customHeight="1" x14ac:dyDescent="0.35">
      <c r="B5" s="197"/>
      <c r="C5" s="201"/>
      <c r="D5" s="202"/>
      <c r="F5" s="124"/>
      <c r="G5" s="124"/>
      <c r="H5" s="124"/>
      <c r="I5" s="67"/>
    </row>
    <row r="6" spans="2:9" s="46" customFormat="1" ht="9.9" customHeight="1" x14ac:dyDescent="0.35">
      <c r="B6" s="197"/>
      <c r="C6" s="201"/>
      <c r="D6" s="202"/>
      <c r="F6" s="124"/>
      <c r="G6" s="124"/>
      <c r="H6" s="124"/>
      <c r="I6" s="67"/>
    </row>
    <row r="7" spans="2:9" s="46" customFormat="1" ht="9.9" customHeight="1" x14ac:dyDescent="0.35">
      <c r="B7" s="197"/>
      <c r="C7" s="201"/>
      <c r="D7" s="202"/>
      <c r="F7" s="124"/>
      <c r="G7" s="124"/>
      <c r="H7" s="124"/>
      <c r="I7" s="67"/>
    </row>
    <row r="8" spans="2:9" s="46" customFormat="1" ht="9.9" customHeight="1" x14ac:dyDescent="0.35">
      <c r="B8" s="197"/>
      <c r="C8" s="201"/>
      <c r="D8" s="202"/>
      <c r="F8" s="124"/>
      <c r="G8" s="124"/>
      <c r="H8" s="124"/>
      <c r="I8" s="67"/>
    </row>
    <row r="9" spans="2:9" s="46" customFormat="1" ht="9.9" customHeight="1" x14ac:dyDescent="0.35">
      <c r="B9" s="198"/>
      <c r="C9" s="203"/>
      <c r="D9" s="204"/>
      <c r="F9" s="124"/>
      <c r="G9" s="124"/>
      <c r="H9" s="124"/>
      <c r="I9" s="67"/>
    </row>
    <row r="10" spans="2:9" s="46" customFormat="1" ht="8.1" customHeight="1" x14ac:dyDescent="0.35">
      <c r="B10" s="47"/>
      <c r="C10" s="48"/>
      <c r="D10" s="48"/>
      <c r="E10" s="48"/>
      <c r="F10" s="49"/>
      <c r="G10" s="49"/>
      <c r="H10" s="49"/>
      <c r="I10" s="71"/>
    </row>
    <row r="11" spans="2:9" s="125" customFormat="1" ht="42" customHeight="1" x14ac:dyDescent="0.35">
      <c r="B11" s="157" t="s">
        <v>168</v>
      </c>
      <c r="C11" s="157" t="s">
        <v>151</v>
      </c>
      <c r="D11" s="157" t="s">
        <v>237</v>
      </c>
      <c r="E11" s="195" t="s">
        <v>238</v>
      </c>
      <c r="F11" s="159" t="s">
        <v>136</v>
      </c>
      <c r="G11" s="155" t="s">
        <v>171</v>
      </c>
      <c r="H11" s="155" t="s">
        <v>170</v>
      </c>
      <c r="I11" s="155" t="s">
        <v>239</v>
      </c>
    </row>
    <row r="12" spans="2:9" ht="23.85" customHeight="1" x14ac:dyDescent="0.35">
      <c r="B12" s="156"/>
      <c r="C12" s="156"/>
      <c r="D12" s="156"/>
      <c r="E12" s="159"/>
      <c r="F12" s="156"/>
      <c r="G12" s="156"/>
      <c r="H12" s="156"/>
      <c r="I12" s="156"/>
    </row>
    <row r="13" spans="2:9" s="80" customFormat="1" hidden="1" x14ac:dyDescent="0.3">
      <c r="B13" s="39"/>
      <c r="C13" s="73"/>
      <c r="D13" s="137" t="str">
        <f t="shared" ref="D13:D20" si="0">IFERROR(IF(VLOOKUP(C13,PartnerN°Ref,2,FALSE)=0,"",VLOOKUP(C13,PartnerN°Ref,2,FALSE)),"")</f>
        <v/>
      </c>
      <c r="E13" s="137" t="str">
        <f t="shared" ref="E13:E20" si="1">IFERROR(IF(OR(VLOOKUP(C13,PartnerN°Ref,4,FALSE)="Country not found",VLOOKUP(C13,PartnerN°Ref,3,FALSE)=0),"",VLOOKUP(C13,PartnerN°Ref,3,FALSE)),"")</f>
        <v/>
      </c>
      <c r="F13" s="44"/>
      <c r="G13" s="82">
        <v>0</v>
      </c>
      <c r="H13" s="83">
        <f t="shared" ref="H13:H20" si="2">IF(I13="Error",0,ROUND(G13,2))</f>
        <v>0</v>
      </c>
      <c r="I13" s="79" t="str">
        <f t="shared" ref="I13:I20" si="3">IF(OR(COUNTIF(WorkPackage,B13)=0,COUNTIF(PartnerN°,C13)=0,D13="",COUNTIF(CountryEligEquip,E13)=0,F13="",ISNUMBER(G13)=FALSE,IF(ISNUMBER(G13)=TRUE,G13=INT(G13*100)/100=FALSE)),"Error","")</f>
        <v>Error</v>
      </c>
    </row>
    <row r="14" spans="2:9" s="80" customFormat="1" ht="36" x14ac:dyDescent="0.3">
      <c r="B14" s="39" t="s">
        <v>178</v>
      </c>
      <c r="C14" s="73" t="s">
        <v>9</v>
      </c>
      <c r="D14" s="137" t="str">
        <f t="shared" si="0"/>
        <v>Kibbutzim College of Education, Technology and Arts</v>
      </c>
      <c r="E14" s="137" t="str">
        <f t="shared" si="1"/>
        <v>Israel</v>
      </c>
      <c r="F14" s="44" t="s">
        <v>443</v>
      </c>
      <c r="G14" s="82">
        <v>10880</v>
      </c>
      <c r="H14" s="83">
        <f t="shared" si="2"/>
        <v>10880</v>
      </c>
      <c r="I14" s="79" t="str">
        <f t="shared" si="3"/>
        <v/>
      </c>
    </row>
    <row r="15" spans="2:9" s="80" customFormat="1" ht="36" x14ac:dyDescent="0.3">
      <c r="B15" s="39" t="s">
        <v>178</v>
      </c>
      <c r="C15" s="73" t="s">
        <v>11</v>
      </c>
      <c r="D15" s="137" t="str">
        <f t="shared" si="0"/>
        <v>Beit Berl College</v>
      </c>
      <c r="E15" s="137" t="str">
        <f t="shared" si="1"/>
        <v>Israel</v>
      </c>
      <c r="F15" s="44" t="s">
        <v>443</v>
      </c>
      <c r="G15" s="82">
        <v>10880</v>
      </c>
      <c r="H15" s="83">
        <f t="shared" si="2"/>
        <v>10880</v>
      </c>
      <c r="I15" s="79" t="str">
        <f t="shared" si="3"/>
        <v/>
      </c>
    </row>
    <row r="16" spans="2:9" s="80" customFormat="1" ht="36" x14ac:dyDescent="0.3">
      <c r="B16" s="39" t="s">
        <v>178</v>
      </c>
      <c r="C16" s="73" t="s">
        <v>12</v>
      </c>
      <c r="D16" s="137" t="str">
        <f t="shared" si="0"/>
        <v>Kaye Academic College of Education</v>
      </c>
      <c r="E16" s="137" t="str">
        <f t="shared" si="1"/>
        <v>Israel</v>
      </c>
      <c r="F16" s="44" t="s">
        <v>443</v>
      </c>
      <c r="G16" s="82">
        <v>10880</v>
      </c>
      <c r="H16" s="83">
        <f t="shared" si="2"/>
        <v>10880</v>
      </c>
      <c r="I16" s="79" t="str">
        <f t="shared" si="3"/>
        <v/>
      </c>
    </row>
    <row r="17" spans="2:9" s="80" customFormat="1" ht="36" x14ac:dyDescent="0.3">
      <c r="B17" s="39" t="s">
        <v>178</v>
      </c>
      <c r="C17" s="73" t="s">
        <v>16</v>
      </c>
      <c r="D17" s="137" t="str">
        <f t="shared" si="0"/>
        <v>Gordon Academic College of Education</v>
      </c>
      <c r="E17" s="137" t="str">
        <f t="shared" si="1"/>
        <v>Israel</v>
      </c>
      <c r="F17" s="44" t="s">
        <v>453</v>
      </c>
      <c r="G17" s="82">
        <v>5290</v>
      </c>
      <c r="H17" s="83">
        <f t="shared" si="2"/>
        <v>5290</v>
      </c>
      <c r="I17" s="79" t="str">
        <f t="shared" si="3"/>
        <v/>
      </c>
    </row>
    <row r="18" spans="2:9" s="80" customFormat="1" ht="36" x14ac:dyDescent="0.3">
      <c r="B18" s="39" t="s">
        <v>178</v>
      </c>
      <c r="C18" s="73" t="s">
        <v>17</v>
      </c>
      <c r="D18" s="137" t="str">
        <f t="shared" si="0"/>
        <v>The College of Sakhnin</v>
      </c>
      <c r="E18" s="137" t="str">
        <f t="shared" si="1"/>
        <v>Israel</v>
      </c>
      <c r="F18" s="44" t="s">
        <v>453</v>
      </c>
      <c r="G18" s="82">
        <v>5290</v>
      </c>
      <c r="H18" s="83">
        <f t="shared" si="2"/>
        <v>5290</v>
      </c>
      <c r="I18" s="79" t="str">
        <f t="shared" si="3"/>
        <v/>
      </c>
    </row>
    <row r="19" spans="2:9" s="80" customFormat="1" ht="36" x14ac:dyDescent="0.3">
      <c r="B19" s="39" t="s">
        <v>178</v>
      </c>
      <c r="C19" s="73" t="s">
        <v>18</v>
      </c>
      <c r="D19" s="137" t="str">
        <f t="shared" si="0"/>
        <v>Talpiot Academic College</v>
      </c>
      <c r="E19" s="137" t="str">
        <f t="shared" si="1"/>
        <v>Israel</v>
      </c>
      <c r="F19" s="44" t="s">
        <v>453</v>
      </c>
      <c r="G19" s="82">
        <v>5290</v>
      </c>
      <c r="H19" s="83">
        <f t="shared" si="2"/>
        <v>5290</v>
      </c>
      <c r="I19" s="79" t="str">
        <f t="shared" si="3"/>
        <v/>
      </c>
    </row>
    <row r="20" spans="2:9" s="80" customFormat="1" x14ac:dyDescent="0.3">
      <c r="B20" s="39"/>
      <c r="C20" s="73"/>
      <c r="D20" s="137" t="str">
        <f t="shared" si="0"/>
        <v/>
      </c>
      <c r="E20" s="137" t="str">
        <f t="shared" si="1"/>
        <v/>
      </c>
      <c r="F20" s="44"/>
      <c r="G20" s="82">
        <v>0</v>
      </c>
      <c r="H20" s="83">
        <f t="shared" si="2"/>
        <v>0</v>
      </c>
      <c r="I20" s="79" t="str">
        <f t="shared" si="3"/>
        <v>Error</v>
      </c>
    </row>
  </sheetData>
  <sheetProtection password="E359" sheet="1" objects="1" scenarios="1" selectLockedCells="1"/>
  <dataConsolidate/>
  <mergeCells count="11">
    <mergeCell ref="I11:I12"/>
    <mergeCell ref="B2:I2"/>
    <mergeCell ref="H11:H12"/>
    <mergeCell ref="G11:G12"/>
    <mergeCell ref="F11:F12"/>
    <mergeCell ref="E11:E12"/>
    <mergeCell ref="B4:B9"/>
    <mergeCell ref="C4:D9"/>
    <mergeCell ref="D11:D12"/>
    <mergeCell ref="B11:B12"/>
    <mergeCell ref="C11:C12"/>
  </mergeCells>
  <conditionalFormatting sqref="I13:I14">
    <cfRule type="containsText" dxfId="257" priority="319" operator="containsText" text="Error">
      <formula>NOT(ISERROR(SEARCH("Error",I13)))</formula>
    </cfRule>
  </conditionalFormatting>
  <conditionalFormatting sqref="D13:E14">
    <cfRule type="containsBlanks" dxfId="256" priority="314">
      <formula>LEN(TRIM(D13))=0</formula>
    </cfRule>
  </conditionalFormatting>
  <conditionalFormatting sqref="E13">
    <cfRule type="expression" dxfId="255" priority="236">
      <formula>COUNTIF(CountryEligEquip,E13)=0</formula>
    </cfRule>
  </conditionalFormatting>
  <conditionalFormatting sqref="E14">
    <cfRule type="expression" dxfId="254" priority="237">
      <formula>COUNTIF(CountryEligEquip,E14)=0</formula>
    </cfRule>
  </conditionalFormatting>
  <conditionalFormatting sqref="I15">
    <cfRule type="containsText" dxfId="253" priority="24" operator="containsText" text="Error">
      <formula>NOT(ISERROR(SEARCH("Error",I15)))</formula>
    </cfRule>
  </conditionalFormatting>
  <conditionalFormatting sqref="D15:E15">
    <cfRule type="containsBlanks" dxfId="252" priority="23">
      <formula>LEN(TRIM(D15))=0</formula>
    </cfRule>
  </conditionalFormatting>
  <conditionalFormatting sqref="E15">
    <cfRule type="expression" dxfId="251" priority="22">
      <formula>COUNTIF(CountryEligEquip,E15)=0</formula>
    </cfRule>
  </conditionalFormatting>
  <conditionalFormatting sqref="I16">
    <cfRule type="containsText" dxfId="250" priority="21" operator="containsText" text="Error">
      <formula>NOT(ISERROR(SEARCH("Error",I16)))</formula>
    </cfRule>
  </conditionalFormatting>
  <conditionalFormatting sqref="D16:E16">
    <cfRule type="containsBlanks" dxfId="249" priority="20">
      <formula>LEN(TRIM(D16))=0</formula>
    </cfRule>
  </conditionalFormatting>
  <conditionalFormatting sqref="E16">
    <cfRule type="expression" dxfId="248" priority="19">
      <formula>COUNTIF(CountryEligEquip,E16)=0</formula>
    </cfRule>
  </conditionalFormatting>
  <conditionalFormatting sqref="I17">
    <cfRule type="containsText" dxfId="247" priority="15" operator="containsText" text="Error">
      <formula>NOT(ISERROR(SEARCH("Error",I17)))</formula>
    </cfRule>
  </conditionalFormatting>
  <conditionalFormatting sqref="D17:E17">
    <cfRule type="containsBlanks" dxfId="246" priority="14">
      <formula>LEN(TRIM(D17))=0</formula>
    </cfRule>
  </conditionalFormatting>
  <conditionalFormatting sqref="E17">
    <cfRule type="expression" dxfId="245" priority="13">
      <formula>COUNTIF(CountryEligEquip,E17)=0</formula>
    </cfRule>
  </conditionalFormatting>
  <conditionalFormatting sqref="I18">
    <cfRule type="containsText" dxfId="244" priority="12" operator="containsText" text="Error">
      <formula>NOT(ISERROR(SEARCH("Error",I18)))</formula>
    </cfRule>
  </conditionalFormatting>
  <conditionalFormatting sqref="D18:E18">
    <cfRule type="containsBlanks" dxfId="243" priority="11">
      <formula>LEN(TRIM(D18))=0</formula>
    </cfRule>
  </conditionalFormatting>
  <conditionalFormatting sqref="E18">
    <cfRule type="expression" dxfId="242" priority="10">
      <formula>COUNTIF(CountryEligEquip,E18)=0</formula>
    </cfRule>
  </conditionalFormatting>
  <conditionalFormatting sqref="I19">
    <cfRule type="containsText" dxfId="241" priority="9" operator="containsText" text="Error">
      <formula>NOT(ISERROR(SEARCH("Error",I19)))</formula>
    </cfRule>
  </conditionalFormatting>
  <conditionalFormatting sqref="D19:E19">
    <cfRule type="containsBlanks" dxfId="240" priority="8">
      <formula>LEN(TRIM(D19))=0</formula>
    </cfRule>
  </conditionalFormatting>
  <conditionalFormatting sqref="E19">
    <cfRule type="expression" dxfId="239" priority="7">
      <formula>COUNTIF(CountryEligEquip,E19)=0</formula>
    </cfRule>
  </conditionalFormatting>
  <conditionalFormatting sqref="I20">
    <cfRule type="containsText" dxfId="238" priority="6" operator="containsText" text="Error">
      <formula>NOT(ISERROR(SEARCH("Error",I20)))</formula>
    </cfRule>
  </conditionalFormatting>
  <conditionalFormatting sqref="D20:E20">
    <cfRule type="containsBlanks" dxfId="237" priority="5">
      <formula>LEN(TRIM(D20))=0</formula>
    </cfRule>
  </conditionalFormatting>
  <conditionalFormatting sqref="E20">
    <cfRule type="expression" dxfId="236" priority="4">
      <formula>COUNTIF(CountryEligEquip,E20)=0</formula>
    </cfRule>
  </conditionalFormatting>
  <dataValidations count="4">
    <dataValidation type="custom" allowBlank="1" showInputMessage="1" showErrorMessage="1" error="Format error (2 decimals only)" prompt="Please encode amount (2 decimals only)" sqref="G13:G20">
      <formula1>G13=INT(G13*100)/100</formula1>
    </dataValidation>
    <dataValidation allowBlank="1" showInputMessage="1" showErrorMessage="1" error="Please encode Nature, type and specifications" prompt="Please encode Nature, type and specifications" sqref="F13:F20"/>
    <dataValidation type="list" allowBlank="1" showInputMessage="1" showErrorMessage="1" error="Click arrow to select Work Package" prompt="Click arrow to select Work Package" sqref="B13:B20">
      <formula1>WorkPackage</formula1>
    </dataValidation>
    <dataValidation type="list" allowBlank="1" showInputMessage="1" showErrorMessage="1" error="Click arrow to select Partner N°" prompt="Click arrow to select Partner N°" sqref="C13:C20">
      <formula1>PartnerN°</formula1>
    </dataValidation>
  </dataValidations>
  <printOptions horizontalCentered="1"/>
  <pageMargins left="0.23622047244094491" right="0.23622047244094491" top="0.39370078740157483" bottom="0.94488188976377963" header="0.31496062992125984" footer="0.31496062992125984"/>
  <pageSetup paperSize="9" scale="43"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8" r:id="rId4" name="Button 1">
              <controlPr defaultSize="0" print="0" autoFill="0" autoPict="0" macro="[0]!AddRow">
                <anchor moveWithCells="1" sizeWithCells="1">
                  <from>
                    <xdr:col>1</xdr:col>
                    <xdr:colOff>83820</xdr:colOff>
                    <xdr:row>1</xdr:row>
                    <xdr:rowOff>76200</xdr:rowOff>
                  </from>
                  <to>
                    <xdr:col>1</xdr:col>
                    <xdr:colOff>1668780</xdr:colOff>
                    <xdr:row>1</xdr:row>
                    <xdr:rowOff>441960</xdr:rowOff>
                  </to>
                </anchor>
              </controlPr>
            </control>
          </mc:Choice>
        </mc:AlternateContent>
        <mc:AlternateContent xmlns:mc="http://schemas.openxmlformats.org/markup-compatibility/2006">
          <mc:Choice Requires="x14">
            <control shapeId="8209" r:id="rId5" name="Button 2">
              <controlPr defaultSize="0" print="0" autoFill="0" autoPict="0" macro="[0]!DeleteRow">
                <anchor moveWithCells="1" sizeWithCells="1">
                  <from>
                    <xdr:col>1</xdr:col>
                    <xdr:colOff>1744980</xdr:colOff>
                    <xdr:row>1</xdr:row>
                    <xdr:rowOff>76200</xdr:rowOff>
                  </from>
                  <to>
                    <xdr:col>2</xdr:col>
                    <xdr:colOff>464820</xdr:colOff>
                    <xdr:row>1</xdr:row>
                    <xdr:rowOff>441960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3" tint="0.39997558519241921"/>
    <pageSetUpPr fitToPage="1"/>
  </sheetPr>
  <dimension ref="B1:I25"/>
  <sheetViews>
    <sheetView showGridLines="0" topLeftCell="C1" zoomScale="50" zoomScaleNormal="50" zoomScaleSheetLayoutView="55" workbookViewId="0">
      <pane ySplit="13" topLeftCell="A14" activePane="bottomLeft" state="frozen"/>
      <selection pane="bottomLeft" activeCell="C25" sqref="C25"/>
    </sheetView>
  </sheetViews>
  <sheetFormatPr defaultColWidth="9.109375" defaultRowHeight="18" x14ac:dyDescent="0.35"/>
  <cols>
    <col min="1" max="1" width="1.6640625" style="16" customWidth="1"/>
    <col min="2" max="2" width="42.6640625" style="16" customWidth="1"/>
    <col min="3" max="3" width="10.6640625" style="16" customWidth="1"/>
    <col min="4" max="5" width="50.6640625" style="16" customWidth="1"/>
    <col min="6" max="6" width="120.6640625" style="16" customWidth="1"/>
    <col min="7" max="8" width="20.6640625" style="16" customWidth="1"/>
    <col min="9" max="9" width="11.33203125" style="16" bestFit="1" customWidth="1"/>
    <col min="10" max="10" width="1.6640625" style="16" customWidth="1"/>
    <col min="11" max="16384" width="9.109375" style="16"/>
  </cols>
  <sheetData>
    <row r="1" spans="2:9" ht="8.1" customHeight="1" x14ac:dyDescent="0.35"/>
    <row r="2" spans="2:9" s="46" customFormat="1" ht="39.9" customHeight="1" x14ac:dyDescent="0.35">
      <c r="B2" s="158" t="s">
        <v>192</v>
      </c>
      <c r="C2" s="158"/>
      <c r="D2" s="158"/>
      <c r="E2" s="158"/>
      <c r="F2" s="158"/>
      <c r="G2" s="158"/>
      <c r="H2" s="158"/>
      <c r="I2" s="158"/>
    </row>
    <row r="3" spans="2:9" s="46" customFormat="1" ht="8.1" customHeight="1" x14ac:dyDescent="0.35">
      <c r="B3" s="81"/>
      <c r="F3" s="124"/>
      <c r="G3" s="124"/>
      <c r="H3" s="124"/>
      <c r="I3" s="67"/>
    </row>
    <row r="4" spans="2:9" s="46" customFormat="1" ht="9.9" customHeight="1" x14ac:dyDescent="0.35">
      <c r="B4" s="196" t="s">
        <v>190</v>
      </c>
      <c r="C4" s="199">
        <f>SUM(H:H)</f>
        <v>62600</v>
      </c>
      <c r="D4" s="200"/>
      <c r="F4" s="124"/>
      <c r="G4" s="124"/>
      <c r="H4" s="124"/>
      <c r="I4" s="67"/>
    </row>
    <row r="5" spans="2:9" s="46" customFormat="1" ht="9.9" customHeight="1" x14ac:dyDescent="0.35">
      <c r="B5" s="197"/>
      <c r="C5" s="201"/>
      <c r="D5" s="202"/>
      <c r="F5" s="124"/>
      <c r="G5" s="124"/>
      <c r="H5" s="124"/>
      <c r="I5" s="67"/>
    </row>
    <row r="6" spans="2:9" s="46" customFormat="1" ht="9.9" customHeight="1" x14ac:dyDescent="0.35">
      <c r="B6" s="197"/>
      <c r="C6" s="201"/>
      <c r="D6" s="202"/>
      <c r="F6" s="124"/>
      <c r="G6" s="124"/>
      <c r="H6" s="124"/>
      <c r="I6" s="67"/>
    </row>
    <row r="7" spans="2:9" s="46" customFormat="1" ht="9.9" customHeight="1" x14ac:dyDescent="0.35">
      <c r="B7" s="197"/>
      <c r="C7" s="201"/>
      <c r="D7" s="202"/>
      <c r="F7" s="124"/>
      <c r="G7" s="124"/>
      <c r="H7" s="124"/>
      <c r="I7" s="67"/>
    </row>
    <row r="8" spans="2:9" s="46" customFormat="1" ht="9.9" customHeight="1" x14ac:dyDescent="0.35">
      <c r="B8" s="197"/>
      <c r="C8" s="201"/>
      <c r="D8" s="202"/>
      <c r="F8" s="124"/>
      <c r="G8" s="124"/>
      <c r="H8" s="124"/>
      <c r="I8" s="67"/>
    </row>
    <row r="9" spans="2:9" s="46" customFormat="1" ht="9.9" customHeight="1" x14ac:dyDescent="0.35">
      <c r="B9" s="198"/>
      <c r="C9" s="203"/>
      <c r="D9" s="204"/>
      <c r="F9" s="124"/>
      <c r="G9" s="124"/>
      <c r="H9" s="124"/>
      <c r="I9" s="67"/>
    </row>
    <row r="10" spans="2:9" s="46" customFormat="1" ht="8.1" customHeight="1" x14ac:dyDescent="0.35">
      <c r="B10" s="47"/>
      <c r="C10" s="48"/>
      <c r="D10" s="48"/>
      <c r="E10" s="48"/>
      <c r="F10" s="49"/>
      <c r="G10" s="49"/>
      <c r="H10" s="49"/>
      <c r="I10" s="71"/>
    </row>
    <row r="11" spans="2:9" s="125" customFormat="1" ht="42" customHeight="1" x14ac:dyDescent="0.35">
      <c r="B11" s="157" t="s">
        <v>168</v>
      </c>
      <c r="C11" s="157" t="s">
        <v>151</v>
      </c>
      <c r="D11" s="157" t="s">
        <v>237</v>
      </c>
      <c r="E11" s="157" t="s">
        <v>238</v>
      </c>
      <c r="F11" s="159" t="s">
        <v>136</v>
      </c>
      <c r="G11" s="155" t="s">
        <v>171</v>
      </c>
      <c r="H11" s="155" t="s">
        <v>170</v>
      </c>
      <c r="I11" s="155" t="s">
        <v>239</v>
      </c>
    </row>
    <row r="12" spans="2:9" ht="23.85" customHeight="1" x14ac:dyDescent="0.35">
      <c r="B12" s="156"/>
      <c r="C12" s="156"/>
      <c r="D12" s="156"/>
      <c r="E12" s="156"/>
      <c r="F12" s="156"/>
      <c r="G12" s="156"/>
      <c r="H12" s="156"/>
      <c r="I12" s="156"/>
    </row>
    <row r="13" spans="2:9" s="80" customFormat="1" hidden="1" x14ac:dyDescent="0.3">
      <c r="B13" s="39"/>
      <c r="C13" s="73"/>
      <c r="D13" s="137" t="str">
        <f t="shared" ref="D13:D21" si="0">IFERROR(IF(VLOOKUP(C13,PartnerN°Ref,2,FALSE)=0,"",VLOOKUP(C13,PartnerN°Ref,2,FALSE)),"")</f>
        <v/>
      </c>
      <c r="E13" s="137" t="str">
        <f t="shared" ref="E13:E21" si="1">IFERROR(IF(OR(VLOOKUP(C13,PartnerN°Ref,4,FALSE)="Country not found",VLOOKUP(C13,PartnerN°Ref,3,FALSE)=0),"",VLOOKUP(C13,PartnerN°Ref,3,FALSE)),"")</f>
        <v/>
      </c>
      <c r="F13" s="44"/>
      <c r="G13" s="82">
        <v>0</v>
      </c>
      <c r="H13" s="83">
        <f t="shared" ref="H13:H21" si="2">IF(I13="Error",0,ROUND(G13,2))</f>
        <v>0</v>
      </c>
      <c r="I13" s="79" t="str">
        <f t="shared" ref="I13:I21" si="3">IF(OR(COUNTIF(WorkPackage,B13)=0,COUNTIF(PartnerN°,C13)=0,D13="",COUNTIF(CountryALL,E13)=0,F13="",ISNUMBER(G13)=FALSE,IF(ISNUMBER(G13)=TRUE,G13=INT(G13*100)/100=FALSE)),"Error","")</f>
        <v>Error</v>
      </c>
    </row>
    <row r="14" spans="2:9" s="80" customFormat="1" ht="36" x14ac:dyDescent="0.3">
      <c r="B14" s="39" t="s">
        <v>180</v>
      </c>
      <c r="C14" s="73" t="s">
        <v>9</v>
      </c>
      <c r="D14" s="137" t="str">
        <f t="shared" si="0"/>
        <v>Kibbutzim College of Education, Technology and Arts</v>
      </c>
      <c r="E14" s="137" t="str">
        <f t="shared" si="1"/>
        <v>Israel</v>
      </c>
      <c r="F14" s="44" t="s">
        <v>402</v>
      </c>
      <c r="G14" s="82">
        <v>15000</v>
      </c>
      <c r="H14" s="83">
        <f t="shared" si="2"/>
        <v>15000</v>
      </c>
      <c r="I14" s="79" t="str">
        <f t="shared" si="3"/>
        <v/>
      </c>
    </row>
    <row r="15" spans="2:9" s="80" customFormat="1" ht="36" x14ac:dyDescent="0.3">
      <c r="B15" s="39" t="s">
        <v>179</v>
      </c>
      <c r="C15" s="73" t="s">
        <v>9</v>
      </c>
      <c r="D15" s="137" t="str">
        <f t="shared" si="0"/>
        <v>Kibbutzim College of Education, Technology and Arts</v>
      </c>
      <c r="E15" s="137" t="str">
        <f t="shared" si="1"/>
        <v>Israel</v>
      </c>
      <c r="F15" s="44" t="s">
        <v>442</v>
      </c>
      <c r="G15" s="82">
        <v>3600</v>
      </c>
      <c r="H15" s="83">
        <f t="shared" si="2"/>
        <v>3600</v>
      </c>
      <c r="I15" s="79" t="str">
        <f t="shared" si="3"/>
        <v/>
      </c>
    </row>
    <row r="16" spans="2:9" s="80" customFormat="1" x14ac:dyDescent="0.3">
      <c r="B16" s="39" t="s">
        <v>179</v>
      </c>
      <c r="C16" s="73" t="s">
        <v>10</v>
      </c>
      <c r="D16" s="137" t="str">
        <f t="shared" si="0"/>
        <v>The MOFET Institute</v>
      </c>
      <c r="E16" s="137" t="str">
        <f t="shared" si="1"/>
        <v>Israel</v>
      </c>
      <c r="F16" s="44" t="s">
        <v>442</v>
      </c>
      <c r="G16" s="82">
        <v>3600</v>
      </c>
      <c r="H16" s="83">
        <f t="shared" si="2"/>
        <v>3600</v>
      </c>
      <c r="I16" s="79" t="str">
        <f t="shared" si="3"/>
        <v/>
      </c>
    </row>
    <row r="17" spans="2:9" s="80" customFormat="1" x14ac:dyDescent="0.3">
      <c r="B17" s="39" t="s">
        <v>179</v>
      </c>
      <c r="C17" s="73" t="s">
        <v>11</v>
      </c>
      <c r="D17" s="137" t="str">
        <f t="shared" si="0"/>
        <v>Beit Berl College</v>
      </c>
      <c r="E17" s="137" t="str">
        <f t="shared" si="1"/>
        <v>Israel</v>
      </c>
      <c r="F17" s="44" t="s">
        <v>442</v>
      </c>
      <c r="G17" s="82">
        <v>3600</v>
      </c>
      <c r="H17" s="83">
        <f t="shared" si="2"/>
        <v>3600</v>
      </c>
      <c r="I17" s="79" t="str">
        <f t="shared" si="3"/>
        <v/>
      </c>
    </row>
    <row r="18" spans="2:9" s="80" customFormat="1" x14ac:dyDescent="0.3">
      <c r="B18" s="39" t="s">
        <v>179</v>
      </c>
      <c r="C18" s="73" t="s">
        <v>12</v>
      </c>
      <c r="D18" s="137" t="str">
        <f t="shared" ref="D18" si="4">IFERROR(IF(VLOOKUP(C18,PartnerN°Ref,2,FALSE)=0,"",VLOOKUP(C18,PartnerN°Ref,2,FALSE)),"")</f>
        <v>Kaye Academic College of Education</v>
      </c>
      <c r="E18" s="137" t="str">
        <f t="shared" ref="E18" si="5">IFERROR(IF(OR(VLOOKUP(C18,PartnerN°Ref,4,FALSE)="Country not found",VLOOKUP(C18,PartnerN°Ref,3,FALSE)=0),"",VLOOKUP(C18,PartnerN°Ref,3,FALSE)),"")</f>
        <v>Israel</v>
      </c>
      <c r="F18" s="44" t="s">
        <v>442</v>
      </c>
      <c r="G18" s="82">
        <v>3600</v>
      </c>
      <c r="H18" s="83">
        <f t="shared" ref="H18" si="6">IF(I18="Error",0,ROUND(G18,2))</f>
        <v>3600</v>
      </c>
      <c r="I18" s="79" t="str">
        <f t="shared" ref="I18" si="7">IF(OR(COUNTIF(WorkPackage,B18)=0,COUNTIF(PartnerN°,C18)=0,D18="",COUNTIF(CountryALL,E18)=0,F18="",ISNUMBER(G18)=FALSE,IF(ISNUMBER(G18)=TRUE,G18=INT(G18*100)/100=FALSE)),"Error","")</f>
        <v/>
      </c>
    </row>
    <row r="19" spans="2:9" s="80" customFormat="1" x14ac:dyDescent="0.3">
      <c r="B19" s="39" t="s">
        <v>179</v>
      </c>
      <c r="C19" s="73" t="s">
        <v>16</v>
      </c>
      <c r="D19" s="137" t="str">
        <f t="shared" si="0"/>
        <v>Gordon Academic College of Education</v>
      </c>
      <c r="E19" s="137" t="str">
        <f t="shared" si="1"/>
        <v>Israel</v>
      </c>
      <c r="F19" s="44" t="s">
        <v>442</v>
      </c>
      <c r="G19" s="82">
        <v>3600</v>
      </c>
      <c r="H19" s="83">
        <f t="shared" si="2"/>
        <v>3600</v>
      </c>
      <c r="I19" s="79" t="str">
        <f t="shared" si="3"/>
        <v/>
      </c>
    </row>
    <row r="20" spans="2:9" s="80" customFormat="1" x14ac:dyDescent="0.3">
      <c r="B20" s="39" t="s">
        <v>179</v>
      </c>
      <c r="C20" s="73" t="s">
        <v>17</v>
      </c>
      <c r="D20" s="137" t="str">
        <f t="shared" si="0"/>
        <v>The College of Sakhnin</v>
      </c>
      <c r="E20" s="137" t="str">
        <f t="shared" si="1"/>
        <v>Israel</v>
      </c>
      <c r="F20" s="44" t="s">
        <v>442</v>
      </c>
      <c r="G20" s="82">
        <v>3600</v>
      </c>
      <c r="H20" s="83">
        <f t="shared" si="2"/>
        <v>3600</v>
      </c>
      <c r="I20" s="79" t="str">
        <f t="shared" si="3"/>
        <v/>
      </c>
    </row>
    <row r="21" spans="2:9" s="80" customFormat="1" x14ac:dyDescent="0.3">
      <c r="B21" s="39" t="s">
        <v>179</v>
      </c>
      <c r="C21" s="73" t="s">
        <v>18</v>
      </c>
      <c r="D21" s="137" t="str">
        <f t="shared" si="0"/>
        <v>Talpiot Academic College</v>
      </c>
      <c r="E21" s="137" t="str">
        <f t="shared" si="1"/>
        <v>Israel</v>
      </c>
      <c r="F21" s="44" t="s">
        <v>442</v>
      </c>
      <c r="G21" s="82">
        <v>3600</v>
      </c>
      <c r="H21" s="83">
        <f t="shared" si="2"/>
        <v>3600</v>
      </c>
      <c r="I21" s="79" t="str">
        <f t="shared" si="3"/>
        <v/>
      </c>
    </row>
    <row r="22" spans="2:9" s="80" customFormat="1" ht="36" x14ac:dyDescent="0.3">
      <c r="B22" s="39" t="s">
        <v>372</v>
      </c>
      <c r="C22" s="73" t="s">
        <v>10</v>
      </c>
      <c r="D22" s="137" t="str">
        <f t="shared" ref="D22" si="8">IFERROR(IF(VLOOKUP(C22,PartnerN°Ref,2,FALSE)=0,"",VLOOKUP(C22,PartnerN°Ref,2,FALSE)),"")</f>
        <v>The MOFET Institute</v>
      </c>
      <c r="E22" s="137" t="str">
        <f t="shared" ref="E22" si="9">IFERROR(IF(OR(VLOOKUP(C22,PartnerN°Ref,4,FALSE)="Country not found",VLOOKUP(C22,PartnerN°Ref,3,FALSE)=0),"",VLOOKUP(C22,PartnerN°Ref,3,FALSE)),"")</f>
        <v>Israel</v>
      </c>
      <c r="F22" s="44" t="s">
        <v>454</v>
      </c>
      <c r="G22" s="82">
        <v>14400</v>
      </c>
      <c r="H22" s="83">
        <f t="shared" ref="H22" si="10">IF(I22="Error",0,ROUND(G22,2))</f>
        <v>14400</v>
      </c>
      <c r="I22" s="79" t="str">
        <f t="shared" ref="I22" si="11">IF(OR(COUNTIF(WorkPackage,B22)=0,COUNTIF(PartnerN°,C22)=0,D22="",COUNTIF(CountryALL,E22)=0,F22="",ISNUMBER(G22)=FALSE,IF(ISNUMBER(G22)=TRUE,G22=INT(G22*100)/100=FALSE)),"Error","")</f>
        <v/>
      </c>
    </row>
    <row r="23" spans="2:9" s="80" customFormat="1" ht="36" x14ac:dyDescent="0.3">
      <c r="B23" s="39" t="s">
        <v>366</v>
      </c>
      <c r="C23" s="73" t="s">
        <v>10</v>
      </c>
      <c r="D23" s="137" t="str">
        <f t="shared" ref="D23:D25" si="12">IFERROR(IF(VLOOKUP(C23,PartnerN°Ref,2,FALSE)=0,"",VLOOKUP(C23,PartnerN°Ref,2,FALSE)),"")</f>
        <v>The MOFET Institute</v>
      </c>
      <c r="E23" s="137" t="str">
        <f t="shared" ref="E23:E25" si="13">IFERROR(IF(OR(VLOOKUP(C23,PartnerN°Ref,4,FALSE)="Country not found",VLOOKUP(C23,PartnerN°Ref,3,FALSE)=0),"",VLOOKUP(C23,PartnerN°Ref,3,FALSE)),"")</f>
        <v>Israel</v>
      </c>
      <c r="F23" s="44" t="s">
        <v>403</v>
      </c>
      <c r="G23" s="82">
        <v>8000</v>
      </c>
      <c r="H23" s="83">
        <f t="shared" ref="H23:H25" si="14">IF(I23="Error",0,ROUND(G23,2))</f>
        <v>8000</v>
      </c>
      <c r="I23" s="79" t="str">
        <f t="shared" ref="I23:I25" si="15">IF(OR(COUNTIF(WorkPackage,B23)=0,COUNTIF(PartnerN°,C23)=0,D23="",COUNTIF(CountryALL,E23)=0,F23="",ISNUMBER(G23)=FALSE,IF(ISNUMBER(G23)=TRUE,G23=INT(G23*100)/100=FALSE)),"Error","")</f>
        <v/>
      </c>
    </row>
    <row r="24" spans="2:9" s="80" customFormat="1" x14ac:dyDescent="0.3">
      <c r="B24" s="39"/>
      <c r="C24" s="73"/>
      <c r="D24" s="137" t="str">
        <f t="shared" si="12"/>
        <v/>
      </c>
      <c r="E24" s="137" t="str">
        <f t="shared" si="13"/>
        <v/>
      </c>
      <c r="F24" s="44"/>
      <c r="G24" s="82"/>
      <c r="H24" s="83">
        <f t="shared" si="14"/>
        <v>0</v>
      </c>
      <c r="I24" s="79" t="str">
        <f t="shared" si="15"/>
        <v>Error</v>
      </c>
    </row>
    <row r="25" spans="2:9" s="80" customFormat="1" x14ac:dyDescent="0.3">
      <c r="B25" s="39"/>
      <c r="C25" s="73"/>
      <c r="D25" s="137" t="str">
        <f t="shared" si="12"/>
        <v/>
      </c>
      <c r="E25" s="137" t="str">
        <f t="shared" si="13"/>
        <v/>
      </c>
      <c r="F25" s="44"/>
      <c r="G25" s="82">
        <v>0</v>
      </c>
      <c r="H25" s="83">
        <f t="shared" si="14"/>
        <v>0</v>
      </c>
      <c r="I25" s="79" t="str">
        <f t="shared" si="15"/>
        <v>Error</v>
      </c>
    </row>
  </sheetData>
  <sheetProtection password="E359" sheet="1" objects="1" scenarios="1" selectLockedCells="1"/>
  <dataConsolidate/>
  <mergeCells count="11">
    <mergeCell ref="I11:I12"/>
    <mergeCell ref="B2:I2"/>
    <mergeCell ref="H11:H12"/>
    <mergeCell ref="B4:B9"/>
    <mergeCell ref="C4:D9"/>
    <mergeCell ref="B11:B12"/>
    <mergeCell ref="C11:C12"/>
    <mergeCell ref="D11:D12"/>
    <mergeCell ref="E11:E12"/>
    <mergeCell ref="F11:F12"/>
    <mergeCell ref="G11:G12"/>
  </mergeCells>
  <conditionalFormatting sqref="I13:I14">
    <cfRule type="containsText" dxfId="235" priority="160" operator="containsText" text="Error">
      <formula>NOT(ISERROR(SEARCH("Error",I13)))</formula>
    </cfRule>
  </conditionalFormatting>
  <conditionalFormatting sqref="D13:E14">
    <cfRule type="containsBlanks" dxfId="234" priority="154">
      <formula>LEN(TRIM(D13))=0</formula>
    </cfRule>
  </conditionalFormatting>
  <conditionalFormatting sqref="I15">
    <cfRule type="containsText" dxfId="233" priority="28" operator="containsText" text="Error">
      <formula>NOT(ISERROR(SEARCH("Error",I15)))</formula>
    </cfRule>
  </conditionalFormatting>
  <conditionalFormatting sqref="D15:E15">
    <cfRule type="containsBlanks" dxfId="232" priority="27">
      <formula>LEN(TRIM(D15))=0</formula>
    </cfRule>
  </conditionalFormatting>
  <conditionalFormatting sqref="I16">
    <cfRule type="containsText" dxfId="231" priority="26" operator="containsText" text="Error">
      <formula>NOT(ISERROR(SEARCH("Error",I16)))</formula>
    </cfRule>
  </conditionalFormatting>
  <conditionalFormatting sqref="D16:E16">
    <cfRule type="containsBlanks" dxfId="230" priority="25">
      <formula>LEN(TRIM(D16))=0</formula>
    </cfRule>
  </conditionalFormatting>
  <conditionalFormatting sqref="I17">
    <cfRule type="containsText" dxfId="229" priority="22" operator="containsText" text="Error">
      <formula>NOT(ISERROR(SEARCH("Error",I17)))</formula>
    </cfRule>
  </conditionalFormatting>
  <conditionalFormatting sqref="D17:E17">
    <cfRule type="containsBlanks" dxfId="228" priority="21">
      <formula>LEN(TRIM(D17))=0</formula>
    </cfRule>
  </conditionalFormatting>
  <conditionalFormatting sqref="I19">
    <cfRule type="containsText" dxfId="227" priority="20" operator="containsText" text="Error">
      <formula>NOT(ISERROR(SEARCH("Error",I19)))</formula>
    </cfRule>
  </conditionalFormatting>
  <conditionalFormatting sqref="D19:E19">
    <cfRule type="containsBlanks" dxfId="226" priority="19">
      <formula>LEN(TRIM(D19))=0</formula>
    </cfRule>
  </conditionalFormatting>
  <conditionalFormatting sqref="I20">
    <cfRule type="containsText" dxfId="225" priority="18" operator="containsText" text="Error">
      <formula>NOT(ISERROR(SEARCH("Error",I20)))</formula>
    </cfRule>
  </conditionalFormatting>
  <conditionalFormatting sqref="D20:E20">
    <cfRule type="containsBlanks" dxfId="224" priority="17">
      <formula>LEN(TRIM(D20))=0</formula>
    </cfRule>
  </conditionalFormatting>
  <conditionalFormatting sqref="I21">
    <cfRule type="containsText" dxfId="223" priority="16" operator="containsText" text="Error">
      <formula>NOT(ISERROR(SEARCH("Error",I21)))</formula>
    </cfRule>
  </conditionalFormatting>
  <conditionalFormatting sqref="D21:E21">
    <cfRule type="containsBlanks" dxfId="222" priority="15">
      <formula>LEN(TRIM(D21))=0</formula>
    </cfRule>
  </conditionalFormatting>
  <conditionalFormatting sqref="I23">
    <cfRule type="containsText" dxfId="221" priority="10" operator="containsText" text="Error">
      <formula>NOT(ISERROR(SEARCH("Error",I23)))</formula>
    </cfRule>
  </conditionalFormatting>
  <conditionalFormatting sqref="D23:E23">
    <cfRule type="containsBlanks" dxfId="220" priority="9">
      <formula>LEN(TRIM(D23))=0</formula>
    </cfRule>
  </conditionalFormatting>
  <conditionalFormatting sqref="I24">
    <cfRule type="containsText" dxfId="219" priority="8" operator="containsText" text="Error">
      <formula>NOT(ISERROR(SEARCH("Error",I24)))</formula>
    </cfRule>
  </conditionalFormatting>
  <conditionalFormatting sqref="D24:E24">
    <cfRule type="containsBlanks" dxfId="218" priority="7">
      <formula>LEN(TRIM(D24))=0</formula>
    </cfRule>
  </conditionalFormatting>
  <conditionalFormatting sqref="I25">
    <cfRule type="containsText" dxfId="217" priority="6" operator="containsText" text="Error">
      <formula>NOT(ISERROR(SEARCH("Error",I25)))</formula>
    </cfRule>
  </conditionalFormatting>
  <conditionalFormatting sqref="D25:E25">
    <cfRule type="containsBlanks" dxfId="216" priority="5">
      <formula>LEN(TRIM(D25))=0</formula>
    </cfRule>
  </conditionalFormatting>
  <conditionalFormatting sqref="I18">
    <cfRule type="containsText" dxfId="215" priority="4" operator="containsText" text="Error">
      <formula>NOT(ISERROR(SEARCH("Error",I18)))</formula>
    </cfRule>
  </conditionalFormatting>
  <conditionalFormatting sqref="D18:E18">
    <cfRule type="containsBlanks" dxfId="214" priority="3">
      <formula>LEN(TRIM(D18))=0</formula>
    </cfRule>
  </conditionalFormatting>
  <conditionalFormatting sqref="I22">
    <cfRule type="containsText" dxfId="213" priority="2" operator="containsText" text="Error">
      <formula>NOT(ISERROR(SEARCH("Error",I22)))</formula>
    </cfRule>
  </conditionalFormatting>
  <conditionalFormatting sqref="D22:E22">
    <cfRule type="containsBlanks" dxfId="212" priority="1">
      <formula>LEN(TRIM(D22))=0</formula>
    </cfRule>
  </conditionalFormatting>
  <dataValidations xWindow="126" yWindow="424" count="4">
    <dataValidation type="custom" allowBlank="1" showInputMessage="1" showErrorMessage="1" error="Format error (2 decimals only)" prompt="Please encode amount (2 decimals only)" sqref="G13:G25">
      <formula1>G13=INT(G13*100)/100</formula1>
    </dataValidation>
    <dataValidation allowBlank="1" showInputMessage="1" showErrorMessage="1" error="Please encode Nature, type and specifications" prompt="Please encode Nature, type and specifications" sqref="F13:F25"/>
    <dataValidation type="list" allowBlank="1" showInputMessage="1" showErrorMessage="1" error="Click arrow to select Work Package" prompt="Click arrow to select Work Package" sqref="B13:B25">
      <formula1>WorkPackage</formula1>
    </dataValidation>
    <dataValidation type="list" allowBlank="1" showInputMessage="1" showErrorMessage="1" error="Click arrow to select Partner N°" prompt="Click arrow to select Partner N°" sqref="C13:C25">
      <formula1>PartnerN°</formula1>
    </dataValidation>
  </dataValidations>
  <printOptions horizontalCentered="1"/>
  <pageMargins left="0.23622047244094491" right="0.23622047244094491" top="0.39370078740157483" bottom="0.94488188976377963" header="0.31496062992125984" footer="0.31496062992125984"/>
  <pageSetup paperSize="9" scale="43"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31" r:id="rId4" name="Button 1">
              <controlPr defaultSize="0" print="0" autoFill="0" autoPict="0" macro="[0]!AddRow">
                <anchor moveWithCells="1" sizeWithCells="1">
                  <from>
                    <xdr:col>1</xdr:col>
                    <xdr:colOff>83820</xdr:colOff>
                    <xdr:row>1</xdr:row>
                    <xdr:rowOff>76200</xdr:rowOff>
                  </from>
                  <to>
                    <xdr:col>1</xdr:col>
                    <xdr:colOff>1668780</xdr:colOff>
                    <xdr:row>1</xdr:row>
                    <xdr:rowOff>441960</xdr:rowOff>
                  </to>
                </anchor>
              </controlPr>
            </control>
          </mc:Choice>
        </mc:AlternateContent>
        <mc:AlternateContent xmlns:mc="http://schemas.openxmlformats.org/markup-compatibility/2006">
          <mc:Choice Requires="x14">
            <control shapeId="34832" r:id="rId5" name="Button 2">
              <controlPr defaultSize="0" print="0" autoFill="0" autoPict="0" macro="[0]!DeleteRow">
                <anchor moveWithCells="1" sizeWithCells="1">
                  <from>
                    <xdr:col>1</xdr:col>
                    <xdr:colOff>1744980</xdr:colOff>
                    <xdr:row>1</xdr:row>
                    <xdr:rowOff>76200</xdr:rowOff>
                  </from>
                  <to>
                    <xdr:col>2</xdr:col>
                    <xdr:colOff>464820</xdr:colOff>
                    <xdr:row>1</xdr:row>
                    <xdr:rowOff>441960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9" tint="-0.249977111117893"/>
    <pageSetUpPr fitToPage="1"/>
  </sheetPr>
  <dimension ref="B1:R33"/>
  <sheetViews>
    <sheetView showGridLines="0" zoomScale="60" zoomScaleNormal="60" zoomScaleSheetLayoutView="55" workbookViewId="0">
      <pane ySplit="13" topLeftCell="A14" activePane="bottomLeft" state="frozen"/>
      <selection pane="bottomLeft" activeCell="B14" sqref="B14"/>
    </sheetView>
  </sheetViews>
  <sheetFormatPr defaultColWidth="9.109375" defaultRowHeight="18" x14ac:dyDescent="0.35"/>
  <cols>
    <col min="1" max="1" width="1.6640625" style="16" customWidth="1"/>
    <col min="2" max="2" width="28.6640625" style="16" customWidth="1"/>
    <col min="3" max="4" width="50.6640625" style="16" customWidth="1"/>
    <col min="5" max="5" width="40.6640625" style="16" customWidth="1"/>
    <col min="6" max="6" width="30.6640625" style="16" customWidth="1"/>
    <col min="7" max="7" width="14.33203125" style="16" bestFit="1" customWidth="1"/>
    <col min="8" max="8" width="50.6640625" style="16" customWidth="1"/>
    <col min="9" max="9" width="30.6640625" style="16" customWidth="1"/>
    <col min="10" max="10" width="24.6640625" style="16" bestFit="1" customWidth="1"/>
    <col min="11" max="11" width="14.6640625" style="16" customWidth="1"/>
    <col min="12" max="14" width="20.6640625" style="16" customWidth="1"/>
    <col min="15" max="15" width="11.6640625" style="16" bestFit="1" customWidth="1"/>
    <col min="16" max="18" width="1.6640625" style="90" hidden="1" customWidth="1"/>
    <col min="19" max="19" width="1.6640625" style="16" customWidth="1"/>
    <col min="20" max="16384" width="9.109375" style="16"/>
  </cols>
  <sheetData>
    <row r="1" spans="2:18" ht="8.1" customHeight="1" x14ac:dyDescent="0.35"/>
    <row r="2" spans="2:18" s="46" customFormat="1" ht="39.9" customHeight="1" x14ac:dyDescent="0.35">
      <c r="B2" s="158" t="s">
        <v>254</v>
      </c>
      <c r="C2" s="158"/>
      <c r="D2" s="158"/>
      <c r="E2" s="158"/>
      <c r="F2" s="158"/>
      <c r="G2" s="158"/>
      <c r="H2" s="158"/>
      <c r="I2" s="158"/>
      <c r="J2" s="158"/>
      <c r="K2" s="158"/>
      <c r="L2" s="158"/>
      <c r="M2" s="158"/>
      <c r="N2" s="158"/>
      <c r="O2" s="158"/>
      <c r="P2" s="91"/>
      <c r="Q2" s="91"/>
      <c r="R2" s="91"/>
    </row>
    <row r="3" spans="2:18" s="46" customFormat="1" ht="8.1" customHeight="1" x14ac:dyDescent="0.35">
      <c r="B3" s="81"/>
      <c r="C3" s="124"/>
      <c r="D3" s="124"/>
      <c r="E3" s="124"/>
      <c r="F3" s="124"/>
      <c r="G3" s="124"/>
      <c r="H3" s="124"/>
      <c r="I3" s="124"/>
      <c r="J3" s="124"/>
      <c r="K3" s="124"/>
      <c r="L3" s="124"/>
      <c r="M3" s="124"/>
      <c r="N3" s="124"/>
      <c r="O3" s="67"/>
      <c r="P3" s="91"/>
      <c r="Q3" s="91"/>
      <c r="R3" s="91"/>
    </row>
    <row r="4" spans="2:18" s="46" customFormat="1" ht="9.9" customHeight="1" x14ac:dyDescent="0.35">
      <c r="B4" s="205" t="s">
        <v>160</v>
      </c>
      <c r="C4" s="206">
        <f>SUM(L:L)</f>
        <v>0</v>
      </c>
      <c r="D4" s="92"/>
      <c r="E4" s="124"/>
      <c r="F4" s="124"/>
      <c r="G4" s="124"/>
      <c r="H4" s="124"/>
      <c r="I4" s="124"/>
      <c r="J4" s="124"/>
      <c r="K4" s="124"/>
      <c r="L4" s="124"/>
      <c r="M4" s="124"/>
      <c r="N4" s="124"/>
      <c r="O4" s="67"/>
      <c r="P4" s="91"/>
      <c r="Q4" s="91"/>
      <c r="R4" s="91"/>
    </row>
    <row r="5" spans="2:18" s="46" customFormat="1" ht="9.9" customHeight="1" x14ac:dyDescent="0.35">
      <c r="B5" s="205"/>
      <c r="C5" s="206"/>
      <c r="D5" s="92"/>
      <c r="E5" s="124"/>
      <c r="F5" s="124"/>
      <c r="G5" s="124"/>
      <c r="H5" s="124"/>
      <c r="I5" s="124"/>
      <c r="J5" s="124"/>
      <c r="K5" s="124"/>
      <c r="L5" s="124"/>
      <c r="M5" s="124"/>
      <c r="N5" s="124"/>
      <c r="O5" s="67"/>
      <c r="P5" s="91"/>
      <c r="Q5" s="91"/>
      <c r="R5" s="91"/>
    </row>
    <row r="6" spans="2:18" s="46" customFormat="1" ht="9.9" customHeight="1" x14ac:dyDescent="0.35">
      <c r="B6" s="205" t="s">
        <v>193</v>
      </c>
      <c r="C6" s="206">
        <f>SUM(M:M)</f>
        <v>0</v>
      </c>
      <c r="D6" s="92"/>
      <c r="E6" s="124"/>
      <c r="F6" s="124"/>
      <c r="G6" s="124"/>
      <c r="H6" s="124"/>
      <c r="I6" s="124"/>
      <c r="J6" s="124"/>
      <c r="K6" s="124"/>
      <c r="L6" s="124"/>
      <c r="M6" s="124"/>
      <c r="N6" s="124"/>
      <c r="O6" s="67"/>
      <c r="P6" s="91"/>
      <c r="Q6" s="91"/>
      <c r="R6" s="91"/>
    </row>
    <row r="7" spans="2:18" s="46" customFormat="1" ht="9.9" customHeight="1" x14ac:dyDescent="0.35">
      <c r="B7" s="205"/>
      <c r="C7" s="206"/>
      <c r="D7" s="92"/>
      <c r="E7" s="124"/>
      <c r="F7" s="124"/>
      <c r="G7" s="124"/>
      <c r="H7" s="124"/>
      <c r="I7" s="124"/>
      <c r="J7" s="124"/>
      <c r="K7" s="124"/>
      <c r="L7" s="124"/>
      <c r="M7" s="124"/>
      <c r="N7" s="124"/>
      <c r="O7" s="67"/>
      <c r="P7" s="91"/>
      <c r="Q7" s="91"/>
      <c r="R7" s="91"/>
    </row>
    <row r="8" spans="2:18" s="46" customFormat="1" ht="9.9" customHeight="1" x14ac:dyDescent="0.35">
      <c r="B8" s="205" t="s">
        <v>190</v>
      </c>
      <c r="C8" s="206">
        <f>C4+C6</f>
        <v>0</v>
      </c>
      <c r="D8" s="92"/>
      <c r="E8" s="124"/>
      <c r="F8" s="124"/>
      <c r="G8" s="124"/>
      <c r="H8" s="124"/>
      <c r="I8" s="124"/>
      <c r="J8" s="124"/>
      <c r="K8" s="124"/>
      <c r="L8" s="124"/>
      <c r="M8" s="124"/>
      <c r="N8" s="124"/>
      <c r="O8" s="67"/>
      <c r="P8" s="91"/>
      <c r="Q8" s="91"/>
      <c r="R8" s="91"/>
    </row>
    <row r="9" spans="2:18" s="46" customFormat="1" ht="9.9" customHeight="1" x14ac:dyDescent="0.35">
      <c r="B9" s="205"/>
      <c r="C9" s="206"/>
      <c r="D9" s="92"/>
      <c r="E9" s="124"/>
      <c r="F9" s="124"/>
      <c r="G9" s="124"/>
      <c r="H9" s="124"/>
      <c r="I9" s="124"/>
      <c r="J9" s="124"/>
      <c r="K9" s="124"/>
      <c r="L9" s="124"/>
      <c r="M9" s="124"/>
      <c r="N9" s="124"/>
      <c r="O9" s="67"/>
      <c r="P9" s="91"/>
      <c r="Q9" s="91"/>
      <c r="R9" s="91"/>
    </row>
    <row r="10" spans="2:18" s="46" customFormat="1" ht="8.1" customHeight="1" x14ac:dyDescent="0.35">
      <c r="B10" s="47"/>
      <c r="C10" s="49"/>
      <c r="D10" s="49"/>
      <c r="E10" s="49"/>
      <c r="F10" s="49"/>
      <c r="G10" s="49"/>
      <c r="H10" s="49"/>
      <c r="I10" s="49"/>
      <c r="J10" s="49"/>
      <c r="K10" s="49"/>
      <c r="L10" s="49"/>
      <c r="M10" s="49"/>
      <c r="N10" s="49"/>
      <c r="O10" s="71"/>
      <c r="P10" s="91"/>
      <c r="Q10" s="91"/>
      <c r="R10" s="91"/>
    </row>
    <row r="11" spans="2:18" s="125" customFormat="1" ht="42" customHeight="1" x14ac:dyDescent="0.35">
      <c r="B11" s="157" t="s">
        <v>151</v>
      </c>
      <c r="C11" s="157" t="s">
        <v>237</v>
      </c>
      <c r="D11" s="157" t="s">
        <v>238</v>
      </c>
      <c r="E11" s="159" t="s">
        <v>219</v>
      </c>
      <c r="F11" s="159" t="s">
        <v>244</v>
      </c>
      <c r="G11" s="157" t="s">
        <v>231</v>
      </c>
      <c r="H11" s="186" t="s">
        <v>232</v>
      </c>
      <c r="I11" s="186" t="s">
        <v>245</v>
      </c>
      <c r="J11" s="159" t="s">
        <v>230</v>
      </c>
      <c r="K11" s="157" t="s">
        <v>223</v>
      </c>
      <c r="L11" s="188" t="s">
        <v>177</v>
      </c>
      <c r="M11" s="157" t="s">
        <v>194</v>
      </c>
      <c r="N11" s="155" t="s">
        <v>169</v>
      </c>
      <c r="O11" s="155" t="s">
        <v>239</v>
      </c>
      <c r="P11" s="93"/>
      <c r="Q11" s="93"/>
      <c r="R11" s="93"/>
    </row>
    <row r="12" spans="2:18" ht="23.85" customHeight="1" x14ac:dyDescent="0.35">
      <c r="B12" s="156"/>
      <c r="C12" s="156"/>
      <c r="D12" s="156"/>
      <c r="E12" s="156"/>
      <c r="F12" s="156"/>
      <c r="G12" s="156"/>
      <c r="H12" s="187"/>
      <c r="I12" s="187"/>
      <c r="J12" s="156"/>
      <c r="K12" s="156"/>
      <c r="L12" s="187"/>
      <c r="M12" s="156"/>
      <c r="N12" s="156"/>
      <c r="O12" s="156"/>
    </row>
    <row r="13" spans="2:18" hidden="1" x14ac:dyDescent="0.35">
      <c r="B13" s="73"/>
      <c r="C13" s="137" t="str">
        <f t="shared" ref="C13:C33" si="0">IFERROR(IF(VLOOKUP(B13,PartnerN°Ref,2,FALSE)=0,"",VLOOKUP(B13,PartnerN°Ref,2,FALSE)),"")</f>
        <v/>
      </c>
      <c r="D13" s="137" t="str">
        <f t="shared" ref="D13:D33" si="1">IFERROR(IF(OR(VLOOKUP(B13,PartnerN°Ref,4,FALSE)="Country not found",VLOOKUP(B13,PartnerN°Ref,3,FALSE)=0),"",VLOOKUP(B13,PartnerN°Ref,3,FALSE)),"")</f>
        <v/>
      </c>
      <c r="E13" s="138" t="str">
        <f t="shared" ref="E13:E33" si="2">IF(D13="","",CONCATENATE("Students from"," ",VLOOKUP(D13,CountryType,2,FALSE)))</f>
        <v/>
      </c>
      <c r="F13" s="95"/>
      <c r="G13" s="86">
        <v>0</v>
      </c>
      <c r="H13" s="139"/>
      <c r="I13" s="95"/>
      <c r="J13" s="84"/>
      <c r="K13" s="86"/>
      <c r="L13" s="87">
        <f t="shared" ref="L13:L33" si="3">IF(O13="Error",0,ROUND(ROUND(G13,0)*(VLOOKUP(J13,TravelCosts,2,FALSE)),2))</f>
        <v>0</v>
      </c>
      <c r="M13" s="88">
        <f t="shared" ref="M13:M33" si="4">IF(O13="Error",0,ROUND(ROUND(G13,0)*(ROUND(K13,0)*(INDEX(Rates,MATCH(H13,CountryALL,0),MATCH(E13,Category,0)))),2))</f>
        <v>0</v>
      </c>
      <c r="N13" s="89">
        <f t="shared" ref="N13" si="5">L13+M13</f>
        <v>0</v>
      </c>
      <c r="O13" s="79" t="str">
        <f t="shared" ref="O13:O33" si="6">IF(OR(COUNTIF(PartnerN°,B13)=0,C13="",COUNTIF(SMSCountry,D13)=0,COUNTIF(Category,E13)=0,F13="",ISNUMBER(G13)=FALSE,COUNTIF(SMSCountry,H13)=0,I13="",COUNTIF(TravelBands,J13)=0,ISNUMBER(K13)=FALSE,COUNTIF(StudentSMSMonths,K13)=0,P13=1,Q13=1,R13=1,IF(ISNUMBER(G13)=TRUE,G13=INT(G13*1)/1=FALSE),IF(ISNUMBER(K13)=TRUE,K13=INT(K13*1)/1=FALSE)),"Error","")</f>
        <v>Error</v>
      </c>
      <c r="P13" s="90">
        <f t="shared" ref="P13:P33" si="7">IF(AND(COUNTIF(EUCountry,D13)=1,COUNTIF(EUCountry,H13)=1),1,0)</f>
        <v>0</v>
      </c>
      <c r="Q13" s="90">
        <f t="shared" ref="Q13:Q33" si="8">IF(AND(D13&lt;&gt;"",COUNTIF(SMSCountry,D13)=0),1,0)</f>
        <v>0</v>
      </c>
      <c r="R13" s="90">
        <f t="shared" ref="R13:R33" si="9">IF(AND(H13&lt;&gt;"",COUNTIF(SMSCountry,H13)=0),1,0)</f>
        <v>0</v>
      </c>
    </row>
    <row r="14" spans="2:18" x14ac:dyDescent="0.35">
      <c r="B14" s="73"/>
      <c r="C14" s="137" t="str">
        <f t="shared" si="0"/>
        <v/>
      </c>
      <c r="D14" s="137" t="str">
        <f t="shared" si="1"/>
        <v/>
      </c>
      <c r="E14" s="138" t="str">
        <f t="shared" si="2"/>
        <v/>
      </c>
      <c r="F14" s="95"/>
      <c r="G14" s="86"/>
      <c r="H14" s="139"/>
      <c r="I14" s="95"/>
      <c r="J14" s="84"/>
      <c r="K14" s="86"/>
      <c r="L14" s="87">
        <f t="shared" si="3"/>
        <v>0</v>
      </c>
      <c r="M14" s="88">
        <f t="shared" si="4"/>
        <v>0</v>
      </c>
      <c r="N14" s="89">
        <f t="shared" ref="N14:N33" si="10">L14+M14</f>
        <v>0</v>
      </c>
      <c r="O14" s="79" t="str">
        <f t="shared" si="6"/>
        <v>Error</v>
      </c>
      <c r="P14" s="90">
        <f t="shared" si="7"/>
        <v>0</v>
      </c>
      <c r="Q14" s="90">
        <f t="shared" si="8"/>
        <v>0</v>
      </c>
      <c r="R14" s="90">
        <f t="shared" si="9"/>
        <v>0</v>
      </c>
    </row>
    <row r="15" spans="2:18" x14ac:dyDescent="0.35">
      <c r="B15" s="73"/>
      <c r="C15" s="137" t="str">
        <f t="shared" si="0"/>
        <v/>
      </c>
      <c r="D15" s="137" t="str">
        <f t="shared" si="1"/>
        <v/>
      </c>
      <c r="E15" s="138" t="str">
        <f t="shared" si="2"/>
        <v/>
      </c>
      <c r="F15" s="95"/>
      <c r="G15" s="86"/>
      <c r="H15" s="139"/>
      <c r="I15" s="95"/>
      <c r="J15" s="84"/>
      <c r="K15" s="86"/>
      <c r="L15" s="87">
        <f t="shared" si="3"/>
        <v>0</v>
      </c>
      <c r="M15" s="88">
        <f t="shared" si="4"/>
        <v>0</v>
      </c>
      <c r="N15" s="89">
        <f t="shared" si="10"/>
        <v>0</v>
      </c>
      <c r="O15" s="79" t="str">
        <f t="shared" si="6"/>
        <v>Error</v>
      </c>
      <c r="P15" s="90">
        <f t="shared" si="7"/>
        <v>0</v>
      </c>
      <c r="Q15" s="90">
        <f t="shared" si="8"/>
        <v>0</v>
      </c>
      <c r="R15" s="90">
        <f t="shared" si="9"/>
        <v>0</v>
      </c>
    </row>
    <row r="16" spans="2:18" x14ac:dyDescent="0.35">
      <c r="B16" s="73"/>
      <c r="C16" s="137" t="str">
        <f t="shared" si="0"/>
        <v/>
      </c>
      <c r="D16" s="137" t="str">
        <f t="shared" si="1"/>
        <v/>
      </c>
      <c r="E16" s="138" t="str">
        <f t="shared" si="2"/>
        <v/>
      </c>
      <c r="F16" s="95"/>
      <c r="G16" s="86"/>
      <c r="H16" s="139"/>
      <c r="I16" s="95"/>
      <c r="J16" s="84"/>
      <c r="K16" s="86"/>
      <c r="L16" s="87">
        <f t="shared" si="3"/>
        <v>0</v>
      </c>
      <c r="M16" s="88">
        <f t="shared" si="4"/>
        <v>0</v>
      </c>
      <c r="N16" s="89">
        <f t="shared" si="10"/>
        <v>0</v>
      </c>
      <c r="O16" s="79" t="str">
        <f t="shared" si="6"/>
        <v>Error</v>
      </c>
      <c r="P16" s="90">
        <f t="shared" si="7"/>
        <v>0</v>
      </c>
      <c r="Q16" s="90">
        <f t="shared" si="8"/>
        <v>0</v>
      </c>
      <c r="R16" s="90">
        <f t="shared" si="9"/>
        <v>0</v>
      </c>
    </row>
    <row r="17" spans="2:18" x14ac:dyDescent="0.35">
      <c r="B17" s="73"/>
      <c r="C17" s="137" t="str">
        <f t="shared" si="0"/>
        <v/>
      </c>
      <c r="D17" s="137" t="str">
        <f t="shared" si="1"/>
        <v/>
      </c>
      <c r="E17" s="138" t="str">
        <f t="shared" si="2"/>
        <v/>
      </c>
      <c r="F17" s="95"/>
      <c r="G17" s="86"/>
      <c r="H17" s="139"/>
      <c r="I17" s="95"/>
      <c r="J17" s="84"/>
      <c r="K17" s="86"/>
      <c r="L17" s="87">
        <f t="shared" si="3"/>
        <v>0</v>
      </c>
      <c r="M17" s="88">
        <f t="shared" si="4"/>
        <v>0</v>
      </c>
      <c r="N17" s="89">
        <f t="shared" si="10"/>
        <v>0</v>
      </c>
      <c r="O17" s="79" t="str">
        <f t="shared" si="6"/>
        <v>Error</v>
      </c>
      <c r="P17" s="90">
        <f t="shared" si="7"/>
        <v>0</v>
      </c>
      <c r="Q17" s="90">
        <f t="shared" si="8"/>
        <v>0</v>
      </c>
      <c r="R17" s="90">
        <f t="shared" si="9"/>
        <v>0</v>
      </c>
    </row>
    <row r="18" spans="2:18" x14ac:dyDescent="0.35">
      <c r="B18" s="73"/>
      <c r="C18" s="137" t="str">
        <f t="shared" si="0"/>
        <v/>
      </c>
      <c r="D18" s="137" t="str">
        <f t="shared" si="1"/>
        <v/>
      </c>
      <c r="E18" s="138" t="str">
        <f t="shared" si="2"/>
        <v/>
      </c>
      <c r="F18" s="95"/>
      <c r="G18" s="86"/>
      <c r="H18" s="139"/>
      <c r="I18" s="95"/>
      <c r="J18" s="84"/>
      <c r="K18" s="86"/>
      <c r="L18" s="87">
        <f t="shared" si="3"/>
        <v>0</v>
      </c>
      <c r="M18" s="88">
        <f t="shared" si="4"/>
        <v>0</v>
      </c>
      <c r="N18" s="89">
        <f t="shared" si="10"/>
        <v>0</v>
      </c>
      <c r="O18" s="79" t="str">
        <f t="shared" si="6"/>
        <v>Error</v>
      </c>
      <c r="P18" s="90">
        <f t="shared" si="7"/>
        <v>0</v>
      </c>
      <c r="Q18" s="90">
        <f t="shared" si="8"/>
        <v>0</v>
      </c>
      <c r="R18" s="90">
        <f t="shared" si="9"/>
        <v>0</v>
      </c>
    </row>
    <row r="19" spans="2:18" x14ac:dyDescent="0.35">
      <c r="B19" s="73"/>
      <c r="C19" s="137" t="str">
        <f t="shared" si="0"/>
        <v/>
      </c>
      <c r="D19" s="137" t="str">
        <f t="shared" si="1"/>
        <v/>
      </c>
      <c r="E19" s="138" t="str">
        <f t="shared" si="2"/>
        <v/>
      </c>
      <c r="F19" s="95"/>
      <c r="G19" s="86"/>
      <c r="H19" s="139"/>
      <c r="I19" s="95"/>
      <c r="J19" s="84"/>
      <c r="K19" s="86"/>
      <c r="L19" s="87">
        <f t="shared" si="3"/>
        <v>0</v>
      </c>
      <c r="M19" s="88">
        <f t="shared" si="4"/>
        <v>0</v>
      </c>
      <c r="N19" s="89">
        <f t="shared" si="10"/>
        <v>0</v>
      </c>
      <c r="O19" s="79" t="str">
        <f t="shared" si="6"/>
        <v>Error</v>
      </c>
      <c r="P19" s="90">
        <f t="shared" si="7"/>
        <v>0</v>
      </c>
      <c r="Q19" s="90">
        <f t="shared" si="8"/>
        <v>0</v>
      </c>
      <c r="R19" s="90">
        <f t="shared" si="9"/>
        <v>0</v>
      </c>
    </row>
    <row r="20" spans="2:18" x14ac:dyDescent="0.35">
      <c r="B20" s="73"/>
      <c r="C20" s="137" t="str">
        <f t="shared" si="0"/>
        <v/>
      </c>
      <c r="D20" s="137" t="str">
        <f t="shared" si="1"/>
        <v/>
      </c>
      <c r="E20" s="138" t="str">
        <f t="shared" si="2"/>
        <v/>
      </c>
      <c r="F20" s="95"/>
      <c r="G20" s="86"/>
      <c r="H20" s="139"/>
      <c r="I20" s="95"/>
      <c r="J20" s="84"/>
      <c r="K20" s="86"/>
      <c r="L20" s="87">
        <f t="shared" si="3"/>
        <v>0</v>
      </c>
      <c r="M20" s="88">
        <f t="shared" si="4"/>
        <v>0</v>
      </c>
      <c r="N20" s="89">
        <f t="shared" si="10"/>
        <v>0</v>
      </c>
      <c r="O20" s="79" t="str">
        <f t="shared" si="6"/>
        <v>Error</v>
      </c>
      <c r="P20" s="90">
        <f t="shared" si="7"/>
        <v>0</v>
      </c>
      <c r="Q20" s="90">
        <f t="shared" si="8"/>
        <v>0</v>
      </c>
      <c r="R20" s="90">
        <f t="shared" si="9"/>
        <v>0</v>
      </c>
    </row>
    <row r="21" spans="2:18" x14ac:dyDescent="0.35">
      <c r="B21" s="73"/>
      <c r="C21" s="137" t="str">
        <f t="shared" si="0"/>
        <v/>
      </c>
      <c r="D21" s="137" t="str">
        <f t="shared" si="1"/>
        <v/>
      </c>
      <c r="E21" s="138" t="str">
        <f t="shared" si="2"/>
        <v/>
      </c>
      <c r="F21" s="95"/>
      <c r="G21" s="86"/>
      <c r="H21" s="139"/>
      <c r="I21" s="95"/>
      <c r="J21" s="84"/>
      <c r="K21" s="86"/>
      <c r="L21" s="87">
        <f t="shared" si="3"/>
        <v>0</v>
      </c>
      <c r="M21" s="88">
        <f t="shared" si="4"/>
        <v>0</v>
      </c>
      <c r="N21" s="89">
        <f t="shared" si="10"/>
        <v>0</v>
      </c>
      <c r="O21" s="79" t="str">
        <f t="shared" si="6"/>
        <v>Error</v>
      </c>
      <c r="P21" s="90">
        <f t="shared" si="7"/>
        <v>0</v>
      </c>
      <c r="Q21" s="90">
        <f t="shared" si="8"/>
        <v>0</v>
      </c>
      <c r="R21" s="90">
        <f t="shared" si="9"/>
        <v>0</v>
      </c>
    </row>
    <row r="22" spans="2:18" x14ac:dyDescent="0.35">
      <c r="B22" s="73"/>
      <c r="C22" s="137" t="str">
        <f t="shared" si="0"/>
        <v/>
      </c>
      <c r="D22" s="137" t="str">
        <f t="shared" si="1"/>
        <v/>
      </c>
      <c r="E22" s="138" t="str">
        <f t="shared" si="2"/>
        <v/>
      </c>
      <c r="F22" s="84"/>
      <c r="G22" s="86"/>
      <c r="H22" s="139"/>
      <c r="I22" s="95"/>
      <c r="J22" s="84"/>
      <c r="K22" s="86"/>
      <c r="L22" s="87">
        <f t="shared" si="3"/>
        <v>0</v>
      </c>
      <c r="M22" s="88">
        <f t="shared" si="4"/>
        <v>0</v>
      </c>
      <c r="N22" s="89">
        <f t="shared" si="10"/>
        <v>0</v>
      </c>
      <c r="O22" s="79" t="str">
        <f t="shared" si="6"/>
        <v>Error</v>
      </c>
      <c r="P22" s="90">
        <f t="shared" si="7"/>
        <v>0</v>
      </c>
      <c r="Q22" s="90">
        <f t="shared" si="8"/>
        <v>0</v>
      </c>
      <c r="R22" s="90">
        <f t="shared" si="9"/>
        <v>0</v>
      </c>
    </row>
    <row r="23" spans="2:18" x14ac:dyDescent="0.35">
      <c r="B23" s="73"/>
      <c r="C23" s="137" t="str">
        <f t="shared" si="0"/>
        <v/>
      </c>
      <c r="D23" s="137" t="str">
        <f t="shared" si="1"/>
        <v/>
      </c>
      <c r="E23" s="138" t="str">
        <f t="shared" si="2"/>
        <v/>
      </c>
      <c r="F23" s="84"/>
      <c r="G23" s="86"/>
      <c r="H23" s="139"/>
      <c r="I23" s="95"/>
      <c r="J23" s="84"/>
      <c r="K23" s="86"/>
      <c r="L23" s="87">
        <f t="shared" si="3"/>
        <v>0</v>
      </c>
      <c r="M23" s="88">
        <f t="shared" si="4"/>
        <v>0</v>
      </c>
      <c r="N23" s="89">
        <f t="shared" si="10"/>
        <v>0</v>
      </c>
      <c r="O23" s="79" t="str">
        <f t="shared" si="6"/>
        <v>Error</v>
      </c>
      <c r="P23" s="90">
        <f t="shared" si="7"/>
        <v>0</v>
      </c>
      <c r="Q23" s="90">
        <f t="shared" si="8"/>
        <v>0</v>
      </c>
      <c r="R23" s="90">
        <f t="shared" si="9"/>
        <v>0</v>
      </c>
    </row>
    <row r="24" spans="2:18" x14ac:dyDescent="0.35">
      <c r="B24" s="73"/>
      <c r="C24" s="137" t="str">
        <f t="shared" si="0"/>
        <v/>
      </c>
      <c r="D24" s="137" t="str">
        <f t="shared" si="1"/>
        <v/>
      </c>
      <c r="E24" s="138" t="str">
        <f t="shared" si="2"/>
        <v/>
      </c>
      <c r="F24" s="84"/>
      <c r="G24" s="86"/>
      <c r="H24" s="139"/>
      <c r="I24" s="95"/>
      <c r="J24" s="84"/>
      <c r="K24" s="86"/>
      <c r="L24" s="87">
        <f t="shared" si="3"/>
        <v>0</v>
      </c>
      <c r="M24" s="88">
        <f t="shared" si="4"/>
        <v>0</v>
      </c>
      <c r="N24" s="89">
        <f t="shared" si="10"/>
        <v>0</v>
      </c>
      <c r="O24" s="79" t="str">
        <f t="shared" si="6"/>
        <v>Error</v>
      </c>
      <c r="P24" s="90">
        <f t="shared" si="7"/>
        <v>0</v>
      </c>
      <c r="Q24" s="90">
        <f t="shared" si="8"/>
        <v>0</v>
      </c>
      <c r="R24" s="90">
        <f t="shared" si="9"/>
        <v>0</v>
      </c>
    </row>
    <row r="25" spans="2:18" x14ac:dyDescent="0.35">
      <c r="B25" s="73"/>
      <c r="C25" s="137" t="str">
        <f t="shared" si="0"/>
        <v/>
      </c>
      <c r="D25" s="137" t="str">
        <f t="shared" si="1"/>
        <v/>
      </c>
      <c r="E25" s="138" t="str">
        <f t="shared" si="2"/>
        <v/>
      </c>
      <c r="F25" s="95"/>
      <c r="G25" s="86"/>
      <c r="H25" s="139"/>
      <c r="I25" s="95"/>
      <c r="J25" s="84"/>
      <c r="K25" s="86"/>
      <c r="L25" s="87">
        <f t="shared" si="3"/>
        <v>0</v>
      </c>
      <c r="M25" s="88">
        <f t="shared" si="4"/>
        <v>0</v>
      </c>
      <c r="N25" s="89">
        <f t="shared" si="10"/>
        <v>0</v>
      </c>
      <c r="O25" s="79" t="str">
        <f t="shared" si="6"/>
        <v>Error</v>
      </c>
      <c r="P25" s="90">
        <f t="shared" si="7"/>
        <v>0</v>
      </c>
      <c r="Q25" s="90">
        <f t="shared" si="8"/>
        <v>0</v>
      </c>
      <c r="R25" s="90">
        <f t="shared" si="9"/>
        <v>0</v>
      </c>
    </row>
    <row r="26" spans="2:18" x14ac:dyDescent="0.35">
      <c r="B26" s="73"/>
      <c r="C26" s="137" t="str">
        <f t="shared" si="0"/>
        <v/>
      </c>
      <c r="D26" s="137" t="str">
        <f t="shared" si="1"/>
        <v/>
      </c>
      <c r="E26" s="138" t="str">
        <f t="shared" si="2"/>
        <v/>
      </c>
      <c r="F26" s="95"/>
      <c r="G26" s="86"/>
      <c r="H26" s="139"/>
      <c r="I26" s="95"/>
      <c r="J26" s="84"/>
      <c r="K26" s="86"/>
      <c r="L26" s="87">
        <f t="shared" si="3"/>
        <v>0</v>
      </c>
      <c r="M26" s="88">
        <f t="shared" si="4"/>
        <v>0</v>
      </c>
      <c r="N26" s="89">
        <f t="shared" si="10"/>
        <v>0</v>
      </c>
      <c r="O26" s="79" t="str">
        <f t="shared" si="6"/>
        <v>Error</v>
      </c>
      <c r="P26" s="90">
        <f t="shared" si="7"/>
        <v>0</v>
      </c>
      <c r="Q26" s="90">
        <f t="shared" si="8"/>
        <v>0</v>
      </c>
      <c r="R26" s="90">
        <f t="shared" si="9"/>
        <v>0</v>
      </c>
    </row>
    <row r="27" spans="2:18" x14ac:dyDescent="0.35">
      <c r="B27" s="73"/>
      <c r="C27" s="137" t="str">
        <f t="shared" si="0"/>
        <v/>
      </c>
      <c r="D27" s="137" t="str">
        <f t="shared" si="1"/>
        <v/>
      </c>
      <c r="E27" s="138" t="str">
        <f t="shared" si="2"/>
        <v/>
      </c>
      <c r="F27" s="95"/>
      <c r="G27" s="86"/>
      <c r="H27" s="139"/>
      <c r="I27" s="95"/>
      <c r="J27" s="84"/>
      <c r="K27" s="86"/>
      <c r="L27" s="87">
        <f t="shared" si="3"/>
        <v>0</v>
      </c>
      <c r="M27" s="88">
        <f t="shared" si="4"/>
        <v>0</v>
      </c>
      <c r="N27" s="89">
        <f t="shared" si="10"/>
        <v>0</v>
      </c>
      <c r="O27" s="79" t="str">
        <f t="shared" si="6"/>
        <v>Error</v>
      </c>
      <c r="P27" s="90">
        <f t="shared" si="7"/>
        <v>0</v>
      </c>
      <c r="Q27" s="90">
        <f t="shared" si="8"/>
        <v>0</v>
      </c>
      <c r="R27" s="90">
        <f t="shared" si="9"/>
        <v>0</v>
      </c>
    </row>
    <row r="28" spans="2:18" x14ac:dyDescent="0.35">
      <c r="B28" s="73"/>
      <c r="C28" s="137" t="str">
        <f t="shared" si="0"/>
        <v/>
      </c>
      <c r="D28" s="137" t="str">
        <f t="shared" si="1"/>
        <v/>
      </c>
      <c r="E28" s="138" t="str">
        <f t="shared" si="2"/>
        <v/>
      </c>
      <c r="F28" s="95"/>
      <c r="G28" s="86"/>
      <c r="H28" s="139"/>
      <c r="I28" s="95"/>
      <c r="J28" s="84"/>
      <c r="K28" s="86"/>
      <c r="L28" s="87">
        <f t="shared" si="3"/>
        <v>0</v>
      </c>
      <c r="M28" s="88">
        <f t="shared" si="4"/>
        <v>0</v>
      </c>
      <c r="N28" s="89">
        <f t="shared" si="10"/>
        <v>0</v>
      </c>
      <c r="O28" s="79" t="str">
        <f t="shared" si="6"/>
        <v>Error</v>
      </c>
      <c r="P28" s="90">
        <f t="shared" si="7"/>
        <v>0</v>
      </c>
      <c r="Q28" s="90">
        <f t="shared" si="8"/>
        <v>0</v>
      </c>
      <c r="R28" s="90">
        <f t="shared" si="9"/>
        <v>0</v>
      </c>
    </row>
    <row r="29" spans="2:18" x14ac:dyDescent="0.35">
      <c r="B29" s="73"/>
      <c r="C29" s="137" t="str">
        <f t="shared" si="0"/>
        <v/>
      </c>
      <c r="D29" s="137" t="str">
        <f t="shared" si="1"/>
        <v/>
      </c>
      <c r="E29" s="138" t="str">
        <f t="shared" si="2"/>
        <v/>
      </c>
      <c r="F29" s="95"/>
      <c r="G29" s="86"/>
      <c r="H29" s="139"/>
      <c r="I29" s="95"/>
      <c r="J29" s="84"/>
      <c r="K29" s="86"/>
      <c r="L29" s="87">
        <f t="shared" si="3"/>
        <v>0</v>
      </c>
      <c r="M29" s="88">
        <f t="shared" si="4"/>
        <v>0</v>
      </c>
      <c r="N29" s="89">
        <f t="shared" si="10"/>
        <v>0</v>
      </c>
      <c r="O29" s="79" t="str">
        <f t="shared" si="6"/>
        <v>Error</v>
      </c>
      <c r="P29" s="90">
        <f t="shared" si="7"/>
        <v>0</v>
      </c>
      <c r="Q29" s="90">
        <f t="shared" si="8"/>
        <v>0</v>
      </c>
      <c r="R29" s="90">
        <f t="shared" si="9"/>
        <v>0</v>
      </c>
    </row>
    <row r="30" spans="2:18" x14ac:dyDescent="0.35">
      <c r="B30" s="73"/>
      <c r="C30" s="137" t="str">
        <f t="shared" si="0"/>
        <v/>
      </c>
      <c r="D30" s="137" t="str">
        <f t="shared" si="1"/>
        <v/>
      </c>
      <c r="E30" s="138" t="str">
        <f t="shared" si="2"/>
        <v/>
      </c>
      <c r="F30" s="95"/>
      <c r="G30" s="86"/>
      <c r="H30" s="139"/>
      <c r="I30" s="95"/>
      <c r="J30" s="84"/>
      <c r="K30" s="86"/>
      <c r="L30" s="87">
        <f t="shared" si="3"/>
        <v>0</v>
      </c>
      <c r="M30" s="88">
        <f t="shared" si="4"/>
        <v>0</v>
      </c>
      <c r="N30" s="89">
        <f t="shared" si="10"/>
        <v>0</v>
      </c>
      <c r="O30" s="79" t="str">
        <f t="shared" si="6"/>
        <v>Error</v>
      </c>
      <c r="P30" s="90">
        <f t="shared" si="7"/>
        <v>0</v>
      </c>
      <c r="Q30" s="90">
        <f t="shared" si="8"/>
        <v>0</v>
      </c>
      <c r="R30" s="90">
        <f t="shared" si="9"/>
        <v>0</v>
      </c>
    </row>
    <row r="31" spans="2:18" x14ac:dyDescent="0.35">
      <c r="B31" s="73"/>
      <c r="C31" s="137" t="str">
        <f t="shared" si="0"/>
        <v/>
      </c>
      <c r="D31" s="137" t="str">
        <f t="shared" si="1"/>
        <v/>
      </c>
      <c r="E31" s="138" t="str">
        <f t="shared" si="2"/>
        <v/>
      </c>
      <c r="F31" s="95"/>
      <c r="G31" s="86"/>
      <c r="H31" s="139"/>
      <c r="I31" s="95"/>
      <c r="J31" s="84"/>
      <c r="K31" s="86"/>
      <c r="L31" s="87">
        <f t="shared" si="3"/>
        <v>0</v>
      </c>
      <c r="M31" s="88">
        <f t="shared" si="4"/>
        <v>0</v>
      </c>
      <c r="N31" s="89">
        <f t="shared" si="10"/>
        <v>0</v>
      </c>
      <c r="O31" s="79" t="str">
        <f t="shared" si="6"/>
        <v>Error</v>
      </c>
      <c r="P31" s="90">
        <f t="shared" si="7"/>
        <v>0</v>
      </c>
      <c r="Q31" s="90">
        <f t="shared" si="8"/>
        <v>0</v>
      </c>
      <c r="R31" s="90">
        <f t="shared" si="9"/>
        <v>0</v>
      </c>
    </row>
    <row r="32" spans="2:18" x14ac:dyDescent="0.35">
      <c r="B32" s="73"/>
      <c r="C32" s="137" t="str">
        <f t="shared" si="0"/>
        <v/>
      </c>
      <c r="D32" s="137" t="str">
        <f t="shared" si="1"/>
        <v/>
      </c>
      <c r="E32" s="138" t="str">
        <f t="shared" si="2"/>
        <v/>
      </c>
      <c r="F32" s="95"/>
      <c r="G32" s="86"/>
      <c r="H32" s="139"/>
      <c r="I32" s="95"/>
      <c r="J32" s="84"/>
      <c r="K32" s="86"/>
      <c r="L32" s="87">
        <f t="shared" si="3"/>
        <v>0</v>
      </c>
      <c r="M32" s="88">
        <f t="shared" si="4"/>
        <v>0</v>
      </c>
      <c r="N32" s="89">
        <f t="shared" si="10"/>
        <v>0</v>
      </c>
      <c r="O32" s="79" t="str">
        <f t="shared" si="6"/>
        <v>Error</v>
      </c>
      <c r="P32" s="90">
        <f t="shared" si="7"/>
        <v>0</v>
      </c>
      <c r="Q32" s="90">
        <f t="shared" si="8"/>
        <v>0</v>
      </c>
      <c r="R32" s="90">
        <f t="shared" si="9"/>
        <v>0</v>
      </c>
    </row>
    <row r="33" spans="2:18" x14ac:dyDescent="0.35">
      <c r="B33" s="73"/>
      <c r="C33" s="137" t="str">
        <f t="shared" si="0"/>
        <v/>
      </c>
      <c r="D33" s="137" t="str">
        <f t="shared" si="1"/>
        <v/>
      </c>
      <c r="E33" s="138" t="str">
        <f t="shared" si="2"/>
        <v/>
      </c>
      <c r="F33" s="95"/>
      <c r="G33" s="86"/>
      <c r="H33" s="139"/>
      <c r="I33" s="95"/>
      <c r="J33" s="84"/>
      <c r="K33" s="86"/>
      <c r="L33" s="87">
        <f t="shared" si="3"/>
        <v>0</v>
      </c>
      <c r="M33" s="88">
        <f t="shared" si="4"/>
        <v>0</v>
      </c>
      <c r="N33" s="89">
        <f t="shared" si="10"/>
        <v>0</v>
      </c>
      <c r="O33" s="79" t="str">
        <f t="shared" si="6"/>
        <v>Error</v>
      </c>
      <c r="P33" s="90">
        <f t="shared" si="7"/>
        <v>0</v>
      </c>
      <c r="Q33" s="90">
        <f t="shared" si="8"/>
        <v>0</v>
      </c>
      <c r="R33" s="90">
        <f t="shared" si="9"/>
        <v>0</v>
      </c>
    </row>
  </sheetData>
  <sheetProtection password="E359" sheet="1" objects="1" scenarios="1" selectLockedCells="1"/>
  <dataConsolidate/>
  <mergeCells count="21">
    <mergeCell ref="B11:B12"/>
    <mergeCell ref="C11:C12"/>
    <mergeCell ref="D11:D12"/>
    <mergeCell ref="E11:E12"/>
    <mergeCell ref="G11:G12"/>
    <mergeCell ref="O11:O12"/>
    <mergeCell ref="B2:O2"/>
    <mergeCell ref="K11:K12"/>
    <mergeCell ref="L11:L12"/>
    <mergeCell ref="M11:M12"/>
    <mergeCell ref="N11:N12"/>
    <mergeCell ref="I11:I12"/>
    <mergeCell ref="J11:J12"/>
    <mergeCell ref="B4:B5"/>
    <mergeCell ref="C4:C5"/>
    <mergeCell ref="B6:B7"/>
    <mergeCell ref="C6:C7"/>
    <mergeCell ref="B8:B9"/>
    <mergeCell ref="C8:C9"/>
    <mergeCell ref="F11:F12"/>
    <mergeCell ref="H11:H12"/>
  </mergeCells>
  <conditionalFormatting sqref="O13:O14">
    <cfRule type="containsText" dxfId="211" priority="287" operator="containsText" text="Error">
      <formula>NOT(ISERROR(SEARCH("Error",O13)))</formula>
    </cfRule>
  </conditionalFormatting>
  <conditionalFormatting sqref="C13:E14">
    <cfRule type="containsBlanks" dxfId="210" priority="181">
      <formula>LEN(TRIM(C13))=0</formula>
    </cfRule>
  </conditionalFormatting>
  <conditionalFormatting sqref="D11:D12">
    <cfRule type="expression" dxfId="209" priority="182">
      <formula>OR(COUNTIF($P:$P,1),COUNTIF($Q:$Q,1))</formula>
    </cfRule>
  </conditionalFormatting>
  <conditionalFormatting sqref="D13">
    <cfRule type="expression" dxfId="208" priority="183">
      <formula>OR(COUNTIF(P13,1),COUNTIF(Q13,1))</formula>
    </cfRule>
  </conditionalFormatting>
  <conditionalFormatting sqref="D14">
    <cfRule type="expression" dxfId="207" priority="278">
      <formula>OR(COUNTIF(P14,1),COUNTIF(Q14,1))</formula>
    </cfRule>
  </conditionalFormatting>
  <conditionalFormatting sqref="H11:H12">
    <cfRule type="expression" dxfId="206" priority="280">
      <formula>OR(COUNTIF($P:$P,1),COUNTIF($R:$R,1))</formula>
    </cfRule>
  </conditionalFormatting>
  <conditionalFormatting sqref="O16">
    <cfRule type="containsText" dxfId="205" priority="60" operator="containsText" text="Error">
      <formula>NOT(ISERROR(SEARCH("Error",O16)))</formula>
    </cfRule>
  </conditionalFormatting>
  <conditionalFormatting sqref="C16:E16">
    <cfRule type="containsBlanks" dxfId="204" priority="58">
      <formula>LEN(TRIM(C16))=0</formula>
    </cfRule>
  </conditionalFormatting>
  <conditionalFormatting sqref="D16">
    <cfRule type="expression" dxfId="203" priority="59">
      <formula>OR(COUNTIF(P16,1),COUNTIF(Q16,1))</formula>
    </cfRule>
  </conditionalFormatting>
  <conditionalFormatting sqref="O19">
    <cfRule type="containsText" dxfId="202" priority="57" operator="containsText" text="Error">
      <formula>NOT(ISERROR(SEARCH("Error",O19)))</formula>
    </cfRule>
  </conditionalFormatting>
  <conditionalFormatting sqref="C19:E19">
    <cfRule type="containsBlanks" dxfId="201" priority="55">
      <formula>LEN(TRIM(C19))=0</formula>
    </cfRule>
  </conditionalFormatting>
  <conditionalFormatting sqref="D19">
    <cfRule type="expression" dxfId="200" priority="56">
      <formula>OR(COUNTIF(P19,1),COUNTIF(Q19,1))</formula>
    </cfRule>
  </conditionalFormatting>
  <conditionalFormatting sqref="O22">
    <cfRule type="containsText" dxfId="199" priority="54" operator="containsText" text="Error">
      <formula>NOT(ISERROR(SEARCH("Error",O22)))</formula>
    </cfRule>
  </conditionalFormatting>
  <conditionalFormatting sqref="C22:E22">
    <cfRule type="containsBlanks" dxfId="198" priority="52">
      <formula>LEN(TRIM(C22))=0</formula>
    </cfRule>
  </conditionalFormatting>
  <conditionalFormatting sqref="D22">
    <cfRule type="expression" dxfId="197" priority="53">
      <formula>OR(COUNTIF(P22,1),COUNTIF(Q22,1))</formula>
    </cfRule>
  </conditionalFormatting>
  <conditionalFormatting sqref="O25">
    <cfRule type="containsText" dxfId="196" priority="51" operator="containsText" text="Error">
      <formula>NOT(ISERROR(SEARCH("Error",O25)))</formula>
    </cfRule>
  </conditionalFormatting>
  <conditionalFormatting sqref="C25:E25">
    <cfRule type="containsBlanks" dxfId="195" priority="49">
      <formula>LEN(TRIM(C25))=0</formula>
    </cfRule>
  </conditionalFormatting>
  <conditionalFormatting sqref="D25">
    <cfRule type="expression" dxfId="194" priority="50">
      <formula>OR(COUNTIF(P25,1),COUNTIF(Q25,1))</formula>
    </cfRule>
  </conditionalFormatting>
  <conditionalFormatting sqref="O28">
    <cfRule type="containsText" dxfId="193" priority="48" operator="containsText" text="Error">
      <formula>NOT(ISERROR(SEARCH("Error",O28)))</formula>
    </cfRule>
  </conditionalFormatting>
  <conditionalFormatting sqref="C28:E28">
    <cfRule type="containsBlanks" dxfId="192" priority="46">
      <formula>LEN(TRIM(C28))=0</formula>
    </cfRule>
  </conditionalFormatting>
  <conditionalFormatting sqref="D28">
    <cfRule type="expression" dxfId="191" priority="47">
      <formula>OR(COUNTIF(P28,1),COUNTIF(Q28,1))</formula>
    </cfRule>
  </conditionalFormatting>
  <conditionalFormatting sqref="O31">
    <cfRule type="containsText" dxfId="190" priority="45" operator="containsText" text="Error">
      <formula>NOT(ISERROR(SEARCH("Error",O31)))</formula>
    </cfRule>
  </conditionalFormatting>
  <conditionalFormatting sqref="C31:E31">
    <cfRule type="containsBlanks" dxfId="189" priority="43">
      <formula>LEN(TRIM(C31))=0</formula>
    </cfRule>
  </conditionalFormatting>
  <conditionalFormatting sqref="D31">
    <cfRule type="expression" dxfId="188" priority="44">
      <formula>OR(COUNTIF(P31,1),COUNTIF(Q31,1))</formula>
    </cfRule>
  </conditionalFormatting>
  <conditionalFormatting sqref="O17">
    <cfRule type="containsText" dxfId="187" priority="42" operator="containsText" text="Error">
      <formula>NOT(ISERROR(SEARCH("Error",O17)))</formula>
    </cfRule>
  </conditionalFormatting>
  <conditionalFormatting sqref="C17:E17">
    <cfRule type="containsBlanks" dxfId="186" priority="40">
      <formula>LEN(TRIM(C17))=0</formula>
    </cfRule>
  </conditionalFormatting>
  <conditionalFormatting sqref="D17">
    <cfRule type="expression" dxfId="185" priority="41">
      <formula>OR(COUNTIF(P17,1),COUNTIF(Q17,1))</formula>
    </cfRule>
  </conditionalFormatting>
  <conditionalFormatting sqref="O18">
    <cfRule type="containsText" dxfId="184" priority="39" operator="containsText" text="Error">
      <formula>NOT(ISERROR(SEARCH("Error",O18)))</formula>
    </cfRule>
  </conditionalFormatting>
  <conditionalFormatting sqref="C18:E18">
    <cfRule type="containsBlanks" dxfId="183" priority="37">
      <formula>LEN(TRIM(C18))=0</formula>
    </cfRule>
  </conditionalFormatting>
  <conditionalFormatting sqref="D18">
    <cfRule type="expression" dxfId="182" priority="38">
      <formula>OR(COUNTIF(P18,1),COUNTIF(Q18,1))</formula>
    </cfRule>
  </conditionalFormatting>
  <conditionalFormatting sqref="O15">
    <cfRule type="containsText" dxfId="181" priority="33" operator="containsText" text="Error">
      <formula>NOT(ISERROR(SEARCH("Error",O15)))</formula>
    </cfRule>
  </conditionalFormatting>
  <conditionalFormatting sqref="C15:E15">
    <cfRule type="containsBlanks" dxfId="180" priority="31">
      <formula>LEN(TRIM(C15))=0</formula>
    </cfRule>
  </conditionalFormatting>
  <conditionalFormatting sqref="D15">
    <cfRule type="expression" dxfId="179" priority="32">
      <formula>OR(COUNTIF(P15,1),COUNTIF(Q15,1))</formula>
    </cfRule>
  </conditionalFormatting>
  <conditionalFormatting sqref="O20">
    <cfRule type="containsText" dxfId="178" priority="30" operator="containsText" text="Error">
      <formula>NOT(ISERROR(SEARCH("Error",O20)))</formula>
    </cfRule>
  </conditionalFormatting>
  <conditionalFormatting sqref="C20:E20">
    <cfRule type="containsBlanks" dxfId="177" priority="28">
      <formula>LEN(TRIM(C20))=0</formula>
    </cfRule>
  </conditionalFormatting>
  <conditionalFormatting sqref="D20">
    <cfRule type="expression" dxfId="176" priority="29">
      <formula>OR(COUNTIF(P20,1),COUNTIF(Q20,1))</formula>
    </cfRule>
  </conditionalFormatting>
  <conditionalFormatting sqref="O21">
    <cfRule type="containsText" dxfId="175" priority="27" operator="containsText" text="Error">
      <formula>NOT(ISERROR(SEARCH("Error",O21)))</formula>
    </cfRule>
  </conditionalFormatting>
  <conditionalFormatting sqref="C21:E21">
    <cfRule type="containsBlanks" dxfId="174" priority="25">
      <formula>LEN(TRIM(C21))=0</formula>
    </cfRule>
  </conditionalFormatting>
  <conditionalFormatting sqref="D21">
    <cfRule type="expression" dxfId="173" priority="26">
      <formula>OR(COUNTIF(P21,1),COUNTIF(Q21,1))</formula>
    </cfRule>
  </conditionalFormatting>
  <conditionalFormatting sqref="O23">
    <cfRule type="containsText" dxfId="172" priority="24" operator="containsText" text="Error">
      <formula>NOT(ISERROR(SEARCH("Error",O23)))</formula>
    </cfRule>
  </conditionalFormatting>
  <conditionalFormatting sqref="C23:E23">
    <cfRule type="containsBlanks" dxfId="171" priority="22">
      <formula>LEN(TRIM(C23))=0</formula>
    </cfRule>
  </conditionalFormatting>
  <conditionalFormatting sqref="D23">
    <cfRule type="expression" dxfId="170" priority="23">
      <formula>OR(COUNTIF(P23,1),COUNTIF(Q23,1))</formula>
    </cfRule>
  </conditionalFormatting>
  <conditionalFormatting sqref="O24">
    <cfRule type="containsText" dxfId="169" priority="21" operator="containsText" text="Error">
      <formula>NOT(ISERROR(SEARCH("Error",O24)))</formula>
    </cfRule>
  </conditionalFormatting>
  <conditionalFormatting sqref="C24:E24">
    <cfRule type="containsBlanks" dxfId="168" priority="19">
      <formula>LEN(TRIM(C24))=0</formula>
    </cfRule>
  </conditionalFormatting>
  <conditionalFormatting sqref="D24">
    <cfRule type="expression" dxfId="167" priority="20">
      <formula>OR(COUNTIF(P24,1),COUNTIF(Q24,1))</formula>
    </cfRule>
  </conditionalFormatting>
  <conditionalFormatting sqref="O26">
    <cfRule type="containsText" dxfId="166" priority="18" operator="containsText" text="Error">
      <formula>NOT(ISERROR(SEARCH("Error",O26)))</formula>
    </cfRule>
  </conditionalFormatting>
  <conditionalFormatting sqref="C26:E26">
    <cfRule type="containsBlanks" dxfId="165" priority="16">
      <formula>LEN(TRIM(C26))=0</formula>
    </cfRule>
  </conditionalFormatting>
  <conditionalFormatting sqref="D26">
    <cfRule type="expression" dxfId="164" priority="17">
      <formula>OR(COUNTIF(P26,1),COUNTIF(Q26,1))</formula>
    </cfRule>
  </conditionalFormatting>
  <conditionalFormatting sqref="O27">
    <cfRule type="containsText" dxfId="163" priority="15" operator="containsText" text="Error">
      <formula>NOT(ISERROR(SEARCH("Error",O27)))</formula>
    </cfRule>
  </conditionalFormatting>
  <conditionalFormatting sqref="C27:E27">
    <cfRule type="containsBlanks" dxfId="162" priority="13">
      <formula>LEN(TRIM(C27))=0</formula>
    </cfRule>
  </conditionalFormatting>
  <conditionalFormatting sqref="D27">
    <cfRule type="expression" dxfId="161" priority="14">
      <formula>OR(COUNTIF(P27,1),COUNTIF(Q27,1))</formula>
    </cfRule>
  </conditionalFormatting>
  <conditionalFormatting sqref="O29">
    <cfRule type="containsText" dxfId="160" priority="12" operator="containsText" text="Error">
      <formula>NOT(ISERROR(SEARCH("Error",O29)))</formula>
    </cfRule>
  </conditionalFormatting>
  <conditionalFormatting sqref="C29:E29">
    <cfRule type="containsBlanks" dxfId="159" priority="10">
      <formula>LEN(TRIM(C29))=0</formula>
    </cfRule>
  </conditionalFormatting>
  <conditionalFormatting sqref="D29">
    <cfRule type="expression" dxfId="158" priority="11">
      <formula>OR(COUNTIF(P29,1),COUNTIF(Q29,1))</formula>
    </cfRule>
  </conditionalFormatting>
  <conditionalFormatting sqref="O30">
    <cfRule type="containsText" dxfId="157" priority="9" operator="containsText" text="Error">
      <formula>NOT(ISERROR(SEARCH("Error",O30)))</formula>
    </cfRule>
  </conditionalFormatting>
  <conditionalFormatting sqref="C30:E30">
    <cfRule type="containsBlanks" dxfId="156" priority="7">
      <formula>LEN(TRIM(C30))=0</formula>
    </cfRule>
  </conditionalFormatting>
  <conditionalFormatting sqref="D30">
    <cfRule type="expression" dxfId="155" priority="8">
      <formula>OR(COUNTIF(P30,1),COUNTIF(Q30,1))</formula>
    </cfRule>
  </conditionalFormatting>
  <conditionalFormatting sqref="O32">
    <cfRule type="containsText" dxfId="154" priority="6" operator="containsText" text="Error">
      <formula>NOT(ISERROR(SEARCH("Error",O32)))</formula>
    </cfRule>
  </conditionalFormatting>
  <conditionalFormatting sqref="C32:E32">
    <cfRule type="containsBlanks" dxfId="153" priority="4">
      <formula>LEN(TRIM(C32))=0</formula>
    </cfRule>
  </conditionalFormatting>
  <conditionalFormatting sqref="D32">
    <cfRule type="expression" dxfId="152" priority="5">
      <formula>OR(COUNTIF(P32,1),COUNTIF(Q32,1))</formula>
    </cfRule>
  </conditionalFormatting>
  <conditionalFormatting sqref="O33">
    <cfRule type="containsText" dxfId="151" priority="3" operator="containsText" text="Error">
      <formula>NOT(ISERROR(SEARCH("Error",O33)))</formula>
    </cfRule>
  </conditionalFormatting>
  <conditionalFormatting sqref="C33:E33">
    <cfRule type="containsBlanks" dxfId="150" priority="1">
      <formula>LEN(TRIM(C33))=0</formula>
    </cfRule>
  </conditionalFormatting>
  <conditionalFormatting sqref="D33">
    <cfRule type="expression" dxfId="149" priority="2">
      <formula>OR(COUNTIF(P33,1),COUNTIF(Q33,1))</formula>
    </cfRule>
  </conditionalFormatting>
  <dataValidations count="9">
    <dataValidation allowBlank="1" showInputMessage="1" errorTitle="Warning: Max Ceilings exceeded" error="Please be aware that this exceed the &quot;Ceilings&quot; for the maximum amounts for staff cost by country" sqref="L13:L33"/>
    <dataValidation type="whole" allowBlank="1" showInputMessage="1" showErrorMessage="1" error="Format error (whole number only)" prompt="Please encode number (whole number only)" sqref="G13:G33">
      <formula1>0</formula1>
      <formula2>50000</formula2>
    </dataValidation>
    <dataValidation allowBlank="1" showInputMessage="1" showErrorMessage="1" error="Please encode City of Departure" prompt="Please encode City of Departure" sqref="F13:F33"/>
    <dataValidation allowBlank="1" showInputMessage="1" showErrorMessage="1" error="Please encode City of Destination" prompt="Please encode City of Destination" sqref="I13:I33"/>
    <dataValidation allowBlank="1" sqref="E13:E33"/>
    <dataValidation type="list" allowBlank="1" showInputMessage="1" showErrorMessage="1" error="Click arrow to select Receiving Country" prompt="Click arrow to select Receiving Country" sqref="H13:H33">
      <formula1>SMSCountry</formula1>
    </dataValidation>
    <dataValidation type="list" allowBlank="1" showInputMessage="1" showErrorMessage="1" error="Click arrow to select Partner N°" prompt="Click arrow to select Partner N°" sqref="B13:B33">
      <formula1>PartnerN°</formula1>
    </dataValidation>
    <dataValidation type="list" allowBlank="1" showInputMessage="1" showErrorMessage="1" error="Click arrow to select Distance" prompt="Click arrow to select Distance" sqref="J13:J33">
      <formula1>TravelBands</formula1>
    </dataValidation>
    <dataValidation type="list" allowBlank="1" showInputMessage="1" showErrorMessage="1" error="Please click to select Number of Months - Min 2 months / Max 12 months" prompt="Please click to select Number of Months - Min 2 months / Max 12 months" sqref="K13:K33">
      <formula1>StudentSMSMonths</formula1>
    </dataValidation>
  </dataValidations>
  <printOptions horizontalCentered="1"/>
  <pageMargins left="0.23622047244094491" right="0.23622047244094491" top="0.39370078740157483" bottom="0.94488188976377963" header="0.31496062992125984" footer="0.31496062992125984"/>
  <pageSetup paperSize="9" scale="35"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72" r:id="rId4" name="Button 3">
              <controlPr defaultSize="0" print="0" autoFill="0" autoPict="0" macro="[0]!Button3_Click">
                <anchor moveWithCells="1" sizeWithCells="1">
                  <from>
                    <xdr:col>2</xdr:col>
                    <xdr:colOff>1485900</xdr:colOff>
                    <xdr:row>1</xdr:row>
                    <xdr:rowOff>83820</xdr:rowOff>
                  </from>
                  <to>
                    <xdr:col>2</xdr:col>
                    <xdr:colOff>3284220</xdr:colOff>
                    <xdr:row>1</xdr:row>
                    <xdr:rowOff>441960</xdr:rowOff>
                  </to>
                </anchor>
              </controlPr>
            </control>
          </mc:Choice>
        </mc:AlternateContent>
        <mc:AlternateContent xmlns:mc="http://schemas.openxmlformats.org/markup-compatibility/2006">
          <mc:Choice Requires="x14">
            <control shapeId="23573" r:id="rId5" name="Button 1">
              <controlPr defaultSize="0" print="0" autoFill="0" autoPict="0" macro="[0]!AddRow">
                <anchor moveWithCells="1" sizeWithCells="1">
                  <from>
                    <xdr:col>1</xdr:col>
                    <xdr:colOff>83820</xdr:colOff>
                    <xdr:row>1</xdr:row>
                    <xdr:rowOff>76200</xdr:rowOff>
                  </from>
                  <to>
                    <xdr:col>1</xdr:col>
                    <xdr:colOff>1668780</xdr:colOff>
                    <xdr:row>1</xdr:row>
                    <xdr:rowOff>441960</xdr:rowOff>
                  </to>
                </anchor>
              </controlPr>
            </control>
          </mc:Choice>
        </mc:AlternateContent>
        <mc:AlternateContent xmlns:mc="http://schemas.openxmlformats.org/markup-compatibility/2006">
          <mc:Choice Requires="x14">
            <control shapeId="23574" r:id="rId6" name="Button 2">
              <controlPr defaultSize="0" print="0" autoFill="0" autoPict="0" macro="[0]!DeleteRow">
                <anchor moveWithCells="1" sizeWithCells="1">
                  <from>
                    <xdr:col>1</xdr:col>
                    <xdr:colOff>1744980</xdr:colOff>
                    <xdr:row>1</xdr:row>
                    <xdr:rowOff>76200</xdr:rowOff>
                  </from>
                  <to>
                    <xdr:col>2</xdr:col>
                    <xdr:colOff>1402080</xdr:colOff>
                    <xdr:row>1</xdr:row>
                    <xdr:rowOff>441960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9" tint="-0.249977111117893"/>
    <pageSetUpPr fitToPage="1"/>
  </sheetPr>
  <dimension ref="B1:R35"/>
  <sheetViews>
    <sheetView showGridLines="0" topLeftCell="E1" zoomScale="50" zoomScaleNormal="50" zoomScaleSheetLayoutView="55" workbookViewId="0">
      <pane ySplit="13" topLeftCell="A14" activePane="bottomLeft" state="frozen"/>
      <selection pane="bottomLeft" activeCell="F14" sqref="F14:K35"/>
    </sheetView>
  </sheetViews>
  <sheetFormatPr defaultColWidth="9.109375" defaultRowHeight="18" x14ac:dyDescent="0.35"/>
  <cols>
    <col min="1" max="1" width="1.6640625" style="16" customWidth="1"/>
    <col min="2" max="2" width="28.6640625" style="16" customWidth="1"/>
    <col min="3" max="4" width="50.6640625" style="16" customWidth="1"/>
    <col min="5" max="5" width="40.6640625" style="16" customWidth="1"/>
    <col min="6" max="6" width="30.6640625" style="16" customWidth="1"/>
    <col min="7" max="7" width="14.33203125" style="16" bestFit="1" customWidth="1"/>
    <col min="8" max="8" width="50.6640625" style="16" customWidth="1"/>
    <col min="9" max="9" width="30.6640625" style="16" customWidth="1"/>
    <col min="10" max="10" width="24.6640625" style="16" customWidth="1"/>
    <col min="11" max="11" width="14.6640625" style="16" customWidth="1"/>
    <col min="12" max="14" width="20.6640625" style="16" customWidth="1"/>
    <col min="15" max="15" width="11.6640625" style="16" customWidth="1"/>
    <col min="16" max="18" width="1.6640625" style="90" hidden="1" customWidth="1"/>
    <col min="19" max="19" width="1.6640625" style="16" customWidth="1"/>
    <col min="20" max="16384" width="9.109375" style="16"/>
  </cols>
  <sheetData>
    <row r="1" spans="2:18" ht="8.1" customHeight="1" x14ac:dyDescent="0.35"/>
    <row r="2" spans="2:18" s="46" customFormat="1" ht="39.9" customHeight="1" x14ac:dyDescent="0.35">
      <c r="B2" s="158" t="s">
        <v>255</v>
      </c>
      <c r="C2" s="158"/>
      <c r="D2" s="158"/>
      <c r="E2" s="158"/>
      <c r="F2" s="158"/>
      <c r="G2" s="158"/>
      <c r="H2" s="158"/>
      <c r="I2" s="158"/>
      <c r="J2" s="158"/>
      <c r="K2" s="158"/>
      <c r="L2" s="158"/>
      <c r="M2" s="158"/>
      <c r="N2" s="158"/>
      <c r="O2" s="158"/>
      <c r="P2" s="91"/>
      <c r="Q2" s="91"/>
      <c r="R2" s="91"/>
    </row>
    <row r="3" spans="2:18" s="46" customFormat="1" ht="8.1" customHeight="1" x14ac:dyDescent="0.35">
      <c r="B3" s="81"/>
      <c r="C3" s="119"/>
      <c r="D3" s="119"/>
      <c r="E3" s="119"/>
      <c r="F3" s="119"/>
      <c r="G3" s="119"/>
      <c r="H3" s="119"/>
      <c r="I3" s="119"/>
      <c r="J3" s="119"/>
      <c r="K3" s="119"/>
      <c r="L3" s="119"/>
      <c r="M3" s="119"/>
      <c r="N3" s="119"/>
      <c r="O3" s="67"/>
      <c r="P3" s="91"/>
      <c r="Q3" s="91"/>
      <c r="R3" s="91"/>
    </row>
    <row r="4" spans="2:18" s="46" customFormat="1" ht="9.9" customHeight="1" x14ac:dyDescent="0.35">
      <c r="B4" s="205" t="s">
        <v>160</v>
      </c>
      <c r="C4" s="206">
        <f>SUM(L:L)</f>
        <v>0</v>
      </c>
      <c r="D4" s="92"/>
      <c r="E4" s="119"/>
      <c r="F4" s="119"/>
      <c r="G4" s="119"/>
      <c r="H4" s="119"/>
      <c r="I4" s="119"/>
      <c r="J4" s="119"/>
      <c r="K4" s="119"/>
      <c r="L4" s="119"/>
      <c r="M4" s="119"/>
      <c r="N4" s="119"/>
      <c r="O4" s="67"/>
      <c r="P4" s="91"/>
      <c r="Q4" s="91"/>
      <c r="R4" s="91"/>
    </row>
    <row r="5" spans="2:18" s="46" customFormat="1" ht="9.9" customHeight="1" x14ac:dyDescent="0.35">
      <c r="B5" s="205"/>
      <c r="C5" s="206"/>
      <c r="D5" s="92"/>
      <c r="E5" s="119"/>
      <c r="F5" s="119"/>
      <c r="G5" s="119"/>
      <c r="H5" s="119"/>
      <c r="I5" s="119"/>
      <c r="J5" s="119"/>
      <c r="K5" s="119"/>
      <c r="L5" s="119"/>
      <c r="M5" s="119"/>
      <c r="N5" s="119"/>
      <c r="O5" s="67"/>
      <c r="P5" s="91"/>
      <c r="Q5" s="91"/>
      <c r="R5" s="91"/>
    </row>
    <row r="6" spans="2:18" s="46" customFormat="1" ht="9.9" customHeight="1" x14ac:dyDescent="0.35">
      <c r="B6" s="205" t="s">
        <v>193</v>
      </c>
      <c r="C6" s="206">
        <f>SUM(M:M)</f>
        <v>0</v>
      </c>
      <c r="D6" s="92"/>
      <c r="E6" s="119"/>
      <c r="F6" s="119"/>
      <c r="G6" s="119"/>
      <c r="H6" s="119"/>
      <c r="I6" s="119"/>
      <c r="J6" s="119"/>
      <c r="K6" s="119"/>
      <c r="L6" s="119"/>
      <c r="M6" s="119"/>
      <c r="N6" s="119"/>
      <c r="O6" s="67"/>
      <c r="P6" s="91"/>
      <c r="Q6" s="91"/>
      <c r="R6" s="91"/>
    </row>
    <row r="7" spans="2:18" s="46" customFormat="1" ht="9.9" customHeight="1" x14ac:dyDescent="0.35">
      <c r="B7" s="205"/>
      <c r="C7" s="206"/>
      <c r="D7" s="92"/>
      <c r="E7" s="119"/>
      <c r="F7" s="119"/>
      <c r="G7" s="119"/>
      <c r="H7" s="119"/>
      <c r="I7" s="119"/>
      <c r="J7" s="119"/>
      <c r="K7" s="119"/>
      <c r="L7" s="119"/>
      <c r="M7" s="119"/>
      <c r="N7" s="119"/>
      <c r="O7" s="67"/>
      <c r="P7" s="91"/>
      <c r="Q7" s="91"/>
      <c r="R7" s="91"/>
    </row>
    <row r="8" spans="2:18" s="46" customFormat="1" ht="9.9" customHeight="1" x14ac:dyDescent="0.35">
      <c r="B8" s="205" t="s">
        <v>190</v>
      </c>
      <c r="C8" s="206">
        <f>C4+C6</f>
        <v>0</v>
      </c>
      <c r="D8" s="92"/>
      <c r="E8" s="119"/>
      <c r="F8" s="119"/>
      <c r="G8" s="119"/>
      <c r="H8" s="119"/>
      <c r="I8" s="119"/>
      <c r="J8" s="119"/>
      <c r="K8" s="119"/>
      <c r="L8" s="119"/>
      <c r="M8" s="119"/>
      <c r="N8" s="119"/>
      <c r="O8" s="67"/>
      <c r="P8" s="91"/>
      <c r="Q8" s="91"/>
      <c r="R8" s="91"/>
    </row>
    <row r="9" spans="2:18" s="46" customFormat="1" ht="9.9" customHeight="1" x14ac:dyDescent="0.35">
      <c r="B9" s="205"/>
      <c r="C9" s="206"/>
      <c r="D9" s="92"/>
      <c r="E9" s="119"/>
      <c r="F9" s="119"/>
      <c r="G9" s="119"/>
      <c r="H9" s="119"/>
      <c r="I9" s="119"/>
      <c r="J9" s="119"/>
      <c r="K9" s="119"/>
      <c r="L9" s="119"/>
      <c r="M9" s="119"/>
      <c r="N9" s="119"/>
      <c r="O9" s="67"/>
      <c r="P9" s="91"/>
      <c r="Q9" s="91"/>
      <c r="R9" s="91"/>
    </row>
    <row r="10" spans="2:18" s="46" customFormat="1" ht="8.1" customHeight="1" x14ac:dyDescent="0.35">
      <c r="B10" s="47"/>
      <c r="C10" s="49"/>
      <c r="D10" s="49"/>
      <c r="E10" s="49"/>
      <c r="F10" s="49"/>
      <c r="G10" s="49"/>
      <c r="H10" s="49"/>
      <c r="I10" s="49"/>
      <c r="J10" s="49"/>
      <c r="K10" s="49"/>
      <c r="L10" s="49"/>
      <c r="M10" s="49"/>
      <c r="N10" s="49"/>
      <c r="O10" s="71"/>
      <c r="P10" s="91"/>
      <c r="Q10" s="91"/>
      <c r="R10" s="91"/>
    </row>
    <row r="11" spans="2:18" s="117" customFormat="1" ht="42" customHeight="1" x14ac:dyDescent="0.35">
      <c r="B11" s="157" t="s">
        <v>151</v>
      </c>
      <c r="C11" s="157" t="s">
        <v>237</v>
      </c>
      <c r="D11" s="157" t="s">
        <v>238</v>
      </c>
      <c r="E11" s="159" t="s">
        <v>219</v>
      </c>
      <c r="F11" s="159" t="s">
        <v>244</v>
      </c>
      <c r="G11" s="157" t="s">
        <v>231</v>
      </c>
      <c r="H11" s="186" t="s">
        <v>232</v>
      </c>
      <c r="I11" s="186" t="s">
        <v>245</v>
      </c>
      <c r="J11" s="159" t="s">
        <v>230</v>
      </c>
      <c r="K11" s="157" t="s">
        <v>227</v>
      </c>
      <c r="L11" s="188" t="s">
        <v>177</v>
      </c>
      <c r="M11" s="155" t="s">
        <v>194</v>
      </c>
      <c r="N11" s="155" t="s">
        <v>169</v>
      </c>
      <c r="O11" s="155" t="s">
        <v>239</v>
      </c>
      <c r="P11" s="93"/>
      <c r="Q11" s="93"/>
      <c r="R11" s="93"/>
    </row>
    <row r="12" spans="2:18" ht="23.85" customHeight="1" x14ac:dyDescent="0.35">
      <c r="B12" s="156"/>
      <c r="C12" s="156"/>
      <c r="D12" s="156"/>
      <c r="E12" s="156"/>
      <c r="F12" s="156"/>
      <c r="G12" s="156"/>
      <c r="H12" s="187"/>
      <c r="I12" s="187"/>
      <c r="J12" s="156"/>
      <c r="K12" s="156"/>
      <c r="L12" s="187"/>
      <c r="M12" s="156"/>
      <c r="N12" s="156"/>
      <c r="O12" s="156"/>
    </row>
    <row r="13" spans="2:18" hidden="1" x14ac:dyDescent="0.35">
      <c r="B13" s="73"/>
      <c r="C13" s="137" t="str">
        <f t="shared" ref="C13:C35" si="0">IFERROR(IF(VLOOKUP(B13,PartnerN°Ref,2,FALSE)=0,"",VLOOKUP(B13,PartnerN°Ref,2,FALSE)),"")</f>
        <v/>
      </c>
      <c r="D13" s="137" t="str">
        <f t="shared" ref="D13:D35" si="1">IFERROR(IF(OR(VLOOKUP(B13,PartnerN°Ref,4,FALSE)="Country not found",VLOOKUP(B13,PartnerN°Ref,3,FALSE)=0),"",VLOOKUP(B13,PartnerN°Ref,3,FALSE)),"")</f>
        <v/>
      </c>
      <c r="E13" s="138" t="str">
        <f t="shared" ref="E13:E35" si="2">IF(D13="","",CONCATENATE("Staff from"," ",VLOOKUP(D13,CountryType,2,FALSE)))</f>
        <v/>
      </c>
      <c r="F13" s="95"/>
      <c r="G13" s="86">
        <v>0</v>
      </c>
      <c r="H13" s="139"/>
      <c r="I13" s="95"/>
      <c r="J13" s="84"/>
      <c r="K13" s="86"/>
      <c r="L13" s="87">
        <f t="shared" ref="L13:L35" si="3">IF(O13="Error",0,ROUND(ROUND(G13,0)*(VLOOKUP(J13,TravelCosts,2,FALSE)),2))</f>
        <v>0</v>
      </c>
      <c r="M13" s="88">
        <f t="shared" ref="M13:M35" si="4">IF(O13="Error",0,ROUND(IF(AND(ROUND(K13,0)&gt;0,ROUND(K13,0)&lt;=14),ROUND(G13,0)*(ROUND(K13,0)*(INDEX(Rates,MATCH(H13,CountryALL,0),MATCH(E13,Category,0)))),IF(AND(ROUND(K13,0)&gt;14,ROUND(K13,0)&lt;=60),ROUND(G13,0)*((14*(INDEX(Rates,MATCH(H13,CountryALL,0),MATCH(E13,Category,0)))))+ROUND(G13,0)*(((ROUND(K13,0)-14)*(0.7*INDEX(Rates,MATCH(H13,CountryALL,0),MATCH(E13,Category,0))))),IF(ROUND(K13,0)&gt;60,0))),2))</f>
        <v>0</v>
      </c>
      <c r="N13" s="89">
        <f t="shared" ref="N13:N14" si="5">L13+M13</f>
        <v>0</v>
      </c>
      <c r="O13" s="79" t="str">
        <f t="shared" ref="O13:O35" si="6">IF(OR(COUNTIF(PartnerN°,B13)=0,C13="",COUNTIF(SMSCountry,D13)=0,COUNTIF(Category,E13)=0,F13="",ISNUMBER(G13)=FALSE,COUNTIF(SMSCountry,H13)=0,I13="",COUNTIF(TravelBands,J13)=0,ISNUMBER(K13)=FALSE,COUNTIF(StaffSMSDays,K13)=0,P13=1,Q13=1,R13=1,IF(ISNUMBER(G13)=TRUE,G13=INT(G13*1)/1=FALSE),IF(ISNUMBER(K13)=TRUE,K13=INT(K13*1)/1=FALSE)),"Error","")</f>
        <v>Error</v>
      </c>
      <c r="P13" s="90">
        <f t="shared" ref="P13:P35" si="7">IF(AND(COUNTIF(EUCountry,D13)=1,COUNTIF(EUCountry,H13)=1),1,0)</f>
        <v>0</v>
      </c>
      <c r="Q13" s="90">
        <f t="shared" ref="Q13:Q35" si="8">IF(AND(D13&lt;&gt;"",COUNTIF(SMSCountry,D13)=0),1,0)</f>
        <v>0</v>
      </c>
      <c r="R13" s="90">
        <f t="shared" ref="R13:R35" si="9">IF(AND(H13&lt;&gt;"",COUNTIF(SMSCountry,H13)=0),1,0)</f>
        <v>0</v>
      </c>
    </row>
    <row r="14" spans="2:18" x14ac:dyDescent="0.35">
      <c r="B14" s="73"/>
      <c r="C14" s="137" t="str">
        <f t="shared" si="0"/>
        <v/>
      </c>
      <c r="D14" s="137" t="str">
        <f t="shared" si="1"/>
        <v/>
      </c>
      <c r="E14" s="138" t="str">
        <f t="shared" si="2"/>
        <v/>
      </c>
      <c r="F14" s="95"/>
      <c r="G14" s="86"/>
      <c r="H14" s="139"/>
      <c r="I14" s="95"/>
      <c r="J14" s="84"/>
      <c r="K14" s="86"/>
      <c r="L14" s="87">
        <f t="shared" si="3"/>
        <v>0</v>
      </c>
      <c r="M14" s="88">
        <f t="shared" si="4"/>
        <v>0</v>
      </c>
      <c r="N14" s="89">
        <f t="shared" si="5"/>
        <v>0</v>
      </c>
      <c r="O14" s="79" t="str">
        <f t="shared" si="6"/>
        <v>Error</v>
      </c>
      <c r="P14" s="90">
        <f t="shared" si="7"/>
        <v>0</v>
      </c>
      <c r="Q14" s="90">
        <f t="shared" si="8"/>
        <v>0</v>
      </c>
      <c r="R14" s="90">
        <f t="shared" si="9"/>
        <v>0</v>
      </c>
    </row>
    <row r="15" spans="2:18" x14ac:dyDescent="0.35">
      <c r="B15" s="73"/>
      <c r="C15" s="137" t="str">
        <f t="shared" si="0"/>
        <v/>
      </c>
      <c r="D15" s="137" t="str">
        <f t="shared" si="1"/>
        <v/>
      </c>
      <c r="E15" s="138" t="str">
        <f t="shared" si="2"/>
        <v/>
      </c>
      <c r="F15" s="95"/>
      <c r="G15" s="86"/>
      <c r="H15" s="139"/>
      <c r="I15" s="95"/>
      <c r="J15" s="84"/>
      <c r="K15" s="86"/>
      <c r="L15" s="87">
        <f t="shared" si="3"/>
        <v>0</v>
      </c>
      <c r="M15" s="88">
        <f t="shared" si="4"/>
        <v>0</v>
      </c>
      <c r="N15" s="89">
        <f t="shared" ref="N15:N35" si="10">L15+M15</f>
        <v>0</v>
      </c>
      <c r="O15" s="79" t="str">
        <f t="shared" si="6"/>
        <v>Error</v>
      </c>
      <c r="P15" s="90">
        <f t="shared" si="7"/>
        <v>0</v>
      </c>
      <c r="Q15" s="90">
        <f t="shared" si="8"/>
        <v>0</v>
      </c>
      <c r="R15" s="90">
        <f t="shared" si="9"/>
        <v>0</v>
      </c>
    </row>
    <row r="16" spans="2:18" x14ac:dyDescent="0.35">
      <c r="B16" s="73"/>
      <c r="C16" s="137" t="str">
        <f t="shared" si="0"/>
        <v/>
      </c>
      <c r="D16" s="137" t="str">
        <f t="shared" si="1"/>
        <v/>
      </c>
      <c r="E16" s="138" t="str">
        <f t="shared" si="2"/>
        <v/>
      </c>
      <c r="F16" s="95"/>
      <c r="G16" s="86"/>
      <c r="H16" s="139"/>
      <c r="I16" s="95"/>
      <c r="J16" s="84"/>
      <c r="K16" s="86"/>
      <c r="L16" s="87">
        <f t="shared" si="3"/>
        <v>0</v>
      </c>
      <c r="M16" s="88">
        <f t="shared" si="4"/>
        <v>0</v>
      </c>
      <c r="N16" s="89">
        <f t="shared" si="10"/>
        <v>0</v>
      </c>
      <c r="O16" s="79" t="str">
        <f t="shared" si="6"/>
        <v>Error</v>
      </c>
      <c r="P16" s="90">
        <f t="shared" si="7"/>
        <v>0</v>
      </c>
      <c r="Q16" s="90">
        <f t="shared" si="8"/>
        <v>0</v>
      </c>
      <c r="R16" s="90">
        <f t="shared" si="9"/>
        <v>0</v>
      </c>
    </row>
    <row r="17" spans="2:18" x14ac:dyDescent="0.35">
      <c r="B17" s="73"/>
      <c r="C17" s="137" t="str">
        <f t="shared" si="0"/>
        <v/>
      </c>
      <c r="D17" s="137" t="str">
        <f t="shared" si="1"/>
        <v/>
      </c>
      <c r="E17" s="138" t="str">
        <f t="shared" si="2"/>
        <v/>
      </c>
      <c r="F17" s="95"/>
      <c r="G17" s="86"/>
      <c r="H17" s="139"/>
      <c r="I17" s="95"/>
      <c r="J17" s="84"/>
      <c r="K17" s="86"/>
      <c r="L17" s="87">
        <f t="shared" si="3"/>
        <v>0</v>
      </c>
      <c r="M17" s="88">
        <f t="shared" si="4"/>
        <v>0</v>
      </c>
      <c r="N17" s="89">
        <f t="shared" si="10"/>
        <v>0</v>
      </c>
      <c r="O17" s="79" t="str">
        <f t="shared" si="6"/>
        <v>Error</v>
      </c>
      <c r="P17" s="90">
        <f t="shared" si="7"/>
        <v>0</v>
      </c>
      <c r="Q17" s="90">
        <f t="shared" si="8"/>
        <v>0</v>
      </c>
      <c r="R17" s="90">
        <f t="shared" si="9"/>
        <v>0</v>
      </c>
    </row>
    <row r="18" spans="2:18" x14ac:dyDescent="0.35">
      <c r="B18" s="73"/>
      <c r="C18" s="137" t="str">
        <f t="shared" si="0"/>
        <v/>
      </c>
      <c r="D18" s="137" t="str">
        <f t="shared" si="1"/>
        <v/>
      </c>
      <c r="E18" s="138" t="str">
        <f t="shared" si="2"/>
        <v/>
      </c>
      <c r="F18" s="95"/>
      <c r="G18" s="86"/>
      <c r="H18" s="139"/>
      <c r="I18" s="95"/>
      <c r="J18" s="84"/>
      <c r="K18" s="86"/>
      <c r="L18" s="87">
        <f t="shared" si="3"/>
        <v>0</v>
      </c>
      <c r="M18" s="88">
        <f t="shared" si="4"/>
        <v>0</v>
      </c>
      <c r="N18" s="89">
        <f t="shared" si="10"/>
        <v>0</v>
      </c>
      <c r="O18" s="79" t="str">
        <f t="shared" si="6"/>
        <v>Error</v>
      </c>
      <c r="P18" s="90">
        <f t="shared" si="7"/>
        <v>0</v>
      </c>
      <c r="Q18" s="90">
        <f t="shared" si="8"/>
        <v>0</v>
      </c>
      <c r="R18" s="90">
        <f t="shared" si="9"/>
        <v>0</v>
      </c>
    </row>
    <row r="19" spans="2:18" x14ac:dyDescent="0.35">
      <c r="B19" s="73"/>
      <c r="C19" s="137" t="str">
        <f t="shared" si="0"/>
        <v/>
      </c>
      <c r="D19" s="137" t="str">
        <f t="shared" si="1"/>
        <v/>
      </c>
      <c r="E19" s="138" t="str">
        <f t="shared" si="2"/>
        <v/>
      </c>
      <c r="F19" s="95"/>
      <c r="G19" s="86"/>
      <c r="H19" s="139"/>
      <c r="I19" s="95"/>
      <c r="J19" s="84"/>
      <c r="K19" s="86"/>
      <c r="L19" s="87">
        <f t="shared" si="3"/>
        <v>0</v>
      </c>
      <c r="M19" s="88">
        <f t="shared" si="4"/>
        <v>0</v>
      </c>
      <c r="N19" s="89">
        <f t="shared" si="10"/>
        <v>0</v>
      </c>
      <c r="O19" s="79" t="str">
        <f t="shared" si="6"/>
        <v>Error</v>
      </c>
      <c r="P19" s="90">
        <f t="shared" si="7"/>
        <v>0</v>
      </c>
      <c r="Q19" s="90">
        <f t="shared" si="8"/>
        <v>0</v>
      </c>
      <c r="R19" s="90">
        <f t="shared" si="9"/>
        <v>0</v>
      </c>
    </row>
    <row r="20" spans="2:18" x14ac:dyDescent="0.35">
      <c r="B20" s="73"/>
      <c r="C20" s="137" t="str">
        <f t="shared" si="0"/>
        <v/>
      </c>
      <c r="D20" s="137" t="str">
        <f t="shared" si="1"/>
        <v/>
      </c>
      <c r="E20" s="138" t="str">
        <f t="shared" si="2"/>
        <v/>
      </c>
      <c r="F20" s="95"/>
      <c r="G20" s="86"/>
      <c r="H20" s="139"/>
      <c r="I20" s="95"/>
      <c r="J20" s="84"/>
      <c r="K20" s="86"/>
      <c r="L20" s="87">
        <f t="shared" si="3"/>
        <v>0</v>
      </c>
      <c r="M20" s="88">
        <f t="shared" si="4"/>
        <v>0</v>
      </c>
      <c r="N20" s="89">
        <f t="shared" si="10"/>
        <v>0</v>
      </c>
      <c r="O20" s="79" t="str">
        <f t="shared" si="6"/>
        <v>Error</v>
      </c>
      <c r="P20" s="90">
        <f t="shared" si="7"/>
        <v>0</v>
      </c>
      <c r="Q20" s="90">
        <f t="shared" si="8"/>
        <v>0</v>
      </c>
      <c r="R20" s="90">
        <f t="shared" si="9"/>
        <v>0</v>
      </c>
    </row>
    <row r="21" spans="2:18" x14ac:dyDescent="0.35">
      <c r="B21" s="73"/>
      <c r="C21" s="137" t="str">
        <f t="shared" si="0"/>
        <v/>
      </c>
      <c r="D21" s="137" t="str">
        <f t="shared" si="1"/>
        <v/>
      </c>
      <c r="E21" s="138" t="str">
        <f t="shared" si="2"/>
        <v/>
      </c>
      <c r="F21" s="95"/>
      <c r="G21" s="86"/>
      <c r="H21" s="139"/>
      <c r="I21" s="95"/>
      <c r="J21" s="84"/>
      <c r="K21" s="86"/>
      <c r="L21" s="87">
        <f t="shared" si="3"/>
        <v>0</v>
      </c>
      <c r="M21" s="88">
        <f t="shared" si="4"/>
        <v>0</v>
      </c>
      <c r="N21" s="89">
        <f t="shared" si="10"/>
        <v>0</v>
      </c>
      <c r="O21" s="79" t="str">
        <f t="shared" si="6"/>
        <v>Error</v>
      </c>
      <c r="P21" s="90">
        <f t="shared" si="7"/>
        <v>0</v>
      </c>
      <c r="Q21" s="90">
        <f t="shared" si="8"/>
        <v>0</v>
      </c>
      <c r="R21" s="90">
        <f t="shared" si="9"/>
        <v>0</v>
      </c>
    </row>
    <row r="22" spans="2:18" x14ac:dyDescent="0.35">
      <c r="B22" s="73"/>
      <c r="C22" s="137" t="str">
        <f t="shared" si="0"/>
        <v/>
      </c>
      <c r="D22" s="137" t="str">
        <f t="shared" si="1"/>
        <v/>
      </c>
      <c r="E22" s="138" t="str">
        <f t="shared" si="2"/>
        <v/>
      </c>
      <c r="F22" s="95"/>
      <c r="G22" s="86"/>
      <c r="H22" s="139"/>
      <c r="I22" s="95"/>
      <c r="J22" s="84"/>
      <c r="K22" s="86"/>
      <c r="L22" s="87">
        <f t="shared" si="3"/>
        <v>0</v>
      </c>
      <c r="M22" s="88">
        <f t="shared" si="4"/>
        <v>0</v>
      </c>
      <c r="N22" s="89">
        <f t="shared" si="10"/>
        <v>0</v>
      </c>
      <c r="O22" s="79" t="str">
        <f t="shared" si="6"/>
        <v>Error</v>
      </c>
      <c r="P22" s="90">
        <f t="shared" si="7"/>
        <v>0</v>
      </c>
      <c r="Q22" s="90">
        <f t="shared" si="8"/>
        <v>0</v>
      </c>
      <c r="R22" s="90">
        <f t="shared" si="9"/>
        <v>0</v>
      </c>
    </row>
    <row r="23" spans="2:18" x14ac:dyDescent="0.35">
      <c r="B23" s="73"/>
      <c r="C23" s="137" t="str">
        <f t="shared" si="0"/>
        <v/>
      </c>
      <c r="D23" s="137" t="str">
        <f t="shared" si="1"/>
        <v/>
      </c>
      <c r="E23" s="138" t="str">
        <f t="shared" si="2"/>
        <v/>
      </c>
      <c r="F23" s="84"/>
      <c r="G23" s="86"/>
      <c r="H23" s="139"/>
      <c r="I23" s="95"/>
      <c r="J23" s="84"/>
      <c r="K23" s="86"/>
      <c r="L23" s="87">
        <f t="shared" si="3"/>
        <v>0</v>
      </c>
      <c r="M23" s="88">
        <f t="shared" si="4"/>
        <v>0</v>
      </c>
      <c r="N23" s="89">
        <f t="shared" si="10"/>
        <v>0</v>
      </c>
      <c r="O23" s="79" t="str">
        <f t="shared" si="6"/>
        <v>Error</v>
      </c>
      <c r="P23" s="90">
        <f t="shared" si="7"/>
        <v>0</v>
      </c>
      <c r="Q23" s="90">
        <f t="shared" si="8"/>
        <v>0</v>
      </c>
      <c r="R23" s="90">
        <f t="shared" si="9"/>
        <v>0</v>
      </c>
    </row>
    <row r="24" spans="2:18" x14ac:dyDescent="0.35">
      <c r="B24" s="73"/>
      <c r="C24" s="137" t="str">
        <f t="shared" si="0"/>
        <v/>
      </c>
      <c r="D24" s="137" t="str">
        <f t="shared" si="1"/>
        <v/>
      </c>
      <c r="E24" s="138" t="str">
        <f t="shared" si="2"/>
        <v/>
      </c>
      <c r="F24" s="84"/>
      <c r="G24" s="86"/>
      <c r="H24" s="139"/>
      <c r="I24" s="95"/>
      <c r="J24" s="84"/>
      <c r="K24" s="86"/>
      <c r="L24" s="87">
        <f t="shared" si="3"/>
        <v>0</v>
      </c>
      <c r="M24" s="88">
        <f t="shared" si="4"/>
        <v>0</v>
      </c>
      <c r="N24" s="89">
        <f t="shared" si="10"/>
        <v>0</v>
      </c>
      <c r="O24" s="79" t="str">
        <f t="shared" si="6"/>
        <v>Error</v>
      </c>
      <c r="P24" s="90">
        <f t="shared" si="7"/>
        <v>0</v>
      </c>
      <c r="Q24" s="90">
        <f t="shared" si="8"/>
        <v>0</v>
      </c>
      <c r="R24" s="90">
        <f t="shared" si="9"/>
        <v>0</v>
      </c>
    </row>
    <row r="25" spans="2:18" x14ac:dyDescent="0.35">
      <c r="B25" s="73"/>
      <c r="C25" s="137" t="str">
        <f t="shared" si="0"/>
        <v/>
      </c>
      <c r="D25" s="137" t="str">
        <f t="shared" si="1"/>
        <v/>
      </c>
      <c r="E25" s="138" t="str">
        <f t="shared" si="2"/>
        <v/>
      </c>
      <c r="F25" s="84"/>
      <c r="G25" s="86"/>
      <c r="H25" s="139"/>
      <c r="I25" s="95"/>
      <c r="J25" s="84"/>
      <c r="K25" s="86"/>
      <c r="L25" s="87">
        <f t="shared" si="3"/>
        <v>0</v>
      </c>
      <c r="M25" s="88">
        <f t="shared" si="4"/>
        <v>0</v>
      </c>
      <c r="N25" s="89">
        <f t="shared" si="10"/>
        <v>0</v>
      </c>
      <c r="O25" s="79" t="str">
        <f t="shared" si="6"/>
        <v>Error</v>
      </c>
      <c r="P25" s="90">
        <f t="shared" si="7"/>
        <v>0</v>
      </c>
      <c r="Q25" s="90">
        <f t="shared" si="8"/>
        <v>0</v>
      </c>
      <c r="R25" s="90">
        <f t="shared" si="9"/>
        <v>0</v>
      </c>
    </row>
    <row r="26" spans="2:18" x14ac:dyDescent="0.35">
      <c r="B26" s="73"/>
      <c r="C26" s="137" t="str">
        <f t="shared" si="0"/>
        <v/>
      </c>
      <c r="D26" s="137" t="str">
        <f t="shared" si="1"/>
        <v/>
      </c>
      <c r="E26" s="138" t="str">
        <f t="shared" si="2"/>
        <v/>
      </c>
      <c r="F26" s="95"/>
      <c r="G26" s="86"/>
      <c r="H26" s="139"/>
      <c r="I26" s="95"/>
      <c r="J26" s="84"/>
      <c r="K26" s="86"/>
      <c r="L26" s="87">
        <f t="shared" si="3"/>
        <v>0</v>
      </c>
      <c r="M26" s="88">
        <f t="shared" si="4"/>
        <v>0</v>
      </c>
      <c r="N26" s="89">
        <f t="shared" si="10"/>
        <v>0</v>
      </c>
      <c r="O26" s="79" t="str">
        <f t="shared" si="6"/>
        <v>Error</v>
      </c>
      <c r="P26" s="90">
        <f t="shared" si="7"/>
        <v>0</v>
      </c>
      <c r="Q26" s="90">
        <f t="shared" si="8"/>
        <v>0</v>
      </c>
      <c r="R26" s="90">
        <f t="shared" si="9"/>
        <v>0</v>
      </c>
    </row>
    <row r="27" spans="2:18" x14ac:dyDescent="0.35">
      <c r="B27" s="73"/>
      <c r="C27" s="137" t="str">
        <f t="shared" si="0"/>
        <v/>
      </c>
      <c r="D27" s="137" t="str">
        <f t="shared" si="1"/>
        <v/>
      </c>
      <c r="E27" s="138" t="str">
        <f t="shared" si="2"/>
        <v/>
      </c>
      <c r="F27" s="95"/>
      <c r="G27" s="86"/>
      <c r="H27" s="139"/>
      <c r="I27" s="95"/>
      <c r="J27" s="84"/>
      <c r="K27" s="86"/>
      <c r="L27" s="87">
        <f t="shared" si="3"/>
        <v>0</v>
      </c>
      <c r="M27" s="88">
        <f t="shared" si="4"/>
        <v>0</v>
      </c>
      <c r="N27" s="89">
        <f t="shared" si="10"/>
        <v>0</v>
      </c>
      <c r="O27" s="79" t="str">
        <f t="shared" si="6"/>
        <v>Error</v>
      </c>
      <c r="P27" s="90">
        <f t="shared" si="7"/>
        <v>0</v>
      </c>
      <c r="Q27" s="90">
        <f t="shared" si="8"/>
        <v>0</v>
      </c>
      <c r="R27" s="90">
        <f t="shared" si="9"/>
        <v>0</v>
      </c>
    </row>
    <row r="28" spans="2:18" x14ac:dyDescent="0.35">
      <c r="B28" s="73"/>
      <c r="C28" s="137" t="str">
        <f t="shared" si="0"/>
        <v/>
      </c>
      <c r="D28" s="137" t="str">
        <f t="shared" si="1"/>
        <v/>
      </c>
      <c r="E28" s="138" t="str">
        <f t="shared" si="2"/>
        <v/>
      </c>
      <c r="F28" s="95"/>
      <c r="G28" s="86"/>
      <c r="H28" s="139"/>
      <c r="I28" s="95"/>
      <c r="J28" s="84"/>
      <c r="K28" s="86"/>
      <c r="L28" s="87">
        <f t="shared" si="3"/>
        <v>0</v>
      </c>
      <c r="M28" s="88">
        <f t="shared" si="4"/>
        <v>0</v>
      </c>
      <c r="N28" s="89">
        <f t="shared" si="10"/>
        <v>0</v>
      </c>
      <c r="O28" s="79" t="str">
        <f t="shared" si="6"/>
        <v>Error</v>
      </c>
      <c r="P28" s="90">
        <f t="shared" si="7"/>
        <v>0</v>
      </c>
      <c r="Q28" s="90">
        <f t="shared" si="8"/>
        <v>0</v>
      </c>
      <c r="R28" s="90">
        <f t="shared" si="9"/>
        <v>0</v>
      </c>
    </row>
    <row r="29" spans="2:18" x14ac:dyDescent="0.35">
      <c r="B29" s="73"/>
      <c r="C29" s="137" t="str">
        <f t="shared" si="0"/>
        <v/>
      </c>
      <c r="D29" s="137" t="str">
        <f t="shared" si="1"/>
        <v/>
      </c>
      <c r="E29" s="138" t="str">
        <f t="shared" si="2"/>
        <v/>
      </c>
      <c r="F29" s="95"/>
      <c r="G29" s="86"/>
      <c r="H29" s="139"/>
      <c r="I29" s="95"/>
      <c r="J29" s="84"/>
      <c r="K29" s="86"/>
      <c r="L29" s="87">
        <f t="shared" si="3"/>
        <v>0</v>
      </c>
      <c r="M29" s="88">
        <f t="shared" si="4"/>
        <v>0</v>
      </c>
      <c r="N29" s="89">
        <f t="shared" si="10"/>
        <v>0</v>
      </c>
      <c r="O29" s="79" t="str">
        <f t="shared" si="6"/>
        <v>Error</v>
      </c>
      <c r="P29" s="90">
        <f t="shared" si="7"/>
        <v>0</v>
      </c>
      <c r="Q29" s="90">
        <f t="shared" si="8"/>
        <v>0</v>
      </c>
      <c r="R29" s="90">
        <f t="shared" si="9"/>
        <v>0</v>
      </c>
    </row>
    <row r="30" spans="2:18" x14ac:dyDescent="0.35">
      <c r="B30" s="73"/>
      <c r="C30" s="137" t="str">
        <f t="shared" si="0"/>
        <v/>
      </c>
      <c r="D30" s="137" t="str">
        <f t="shared" si="1"/>
        <v/>
      </c>
      <c r="E30" s="138" t="str">
        <f t="shared" si="2"/>
        <v/>
      </c>
      <c r="F30" s="95"/>
      <c r="G30" s="86"/>
      <c r="H30" s="139"/>
      <c r="I30" s="95"/>
      <c r="J30" s="84"/>
      <c r="K30" s="86"/>
      <c r="L30" s="87">
        <f t="shared" si="3"/>
        <v>0</v>
      </c>
      <c r="M30" s="88">
        <f t="shared" si="4"/>
        <v>0</v>
      </c>
      <c r="N30" s="89">
        <f t="shared" si="10"/>
        <v>0</v>
      </c>
      <c r="O30" s="79" t="str">
        <f t="shared" si="6"/>
        <v>Error</v>
      </c>
      <c r="P30" s="90">
        <f t="shared" si="7"/>
        <v>0</v>
      </c>
      <c r="Q30" s="90">
        <f t="shared" si="8"/>
        <v>0</v>
      </c>
      <c r="R30" s="90">
        <f t="shared" si="9"/>
        <v>0</v>
      </c>
    </row>
    <row r="31" spans="2:18" x14ac:dyDescent="0.35">
      <c r="B31" s="73"/>
      <c r="C31" s="137" t="str">
        <f t="shared" si="0"/>
        <v/>
      </c>
      <c r="D31" s="137" t="str">
        <f t="shared" si="1"/>
        <v/>
      </c>
      <c r="E31" s="138" t="str">
        <f t="shared" si="2"/>
        <v/>
      </c>
      <c r="F31" s="95"/>
      <c r="G31" s="86"/>
      <c r="H31" s="139"/>
      <c r="I31" s="95"/>
      <c r="J31" s="84"/>
      <c r="K31" s="86"/>
      <c r="L31" s="87">
        <f t="shared" si="3"/>
        <v>0</v>
      </c>
      <c r="M31" s="88">
        <f t="shared" si="4"/>
        <v>0</v>
      </c>
      <c r="N31" s="89">
        <f t="shared" si="10"/>
        <v>0</v>
      </c>
      <c r="O31" s="79" t="str">
        <f t="shared" si="6"/>
        <v>Error</v>
      </c>
      <c r="P31" s="90">
        <f t="shared" si="7"/>
        <v>0</v>
      </c>
      <c r="Q31" s="90">
        <f t="shared" si="8"/>
        <v>0</v>
      </c>
      <c r="R31" s="90">
        <f t="shared" si="9"/>
        <v>0</v>
      </c>
    </row>
    <row r="32" spans="2:18" x14ac:dyDescent="0.35">
      <c r="B32" s="73"/>
      <c r="C32" s="137" t="str">
        <f t="shared" si="0"/>
        <v/>
      </c>
      <c r="D32" s="137" t="str">
        <f t="shared" si="1"/>
        <v/>
      </c>
      <c r="E32" s="138" t="str">
        <f t="shared" si="2"/>
        <v/>
      </c>
      <c r="F32" s="95"/>
      <c r="G32" s="86"/>
      <c r="H32" s="139"/>
      <c r="I32" s="95"/>
      <c r="J32" s="84"/>
      <c r="K32" s="86"/>
      <c r="L32" s="87">
        <f t="shared" si="3"/>
        <v>0</v>
      </c>
      <c r="M32" s="88">
        <f t="shared" si="4"/>
        <v>0</v>
      </c>
      <c r="N32" s="89">
        <f t="shared" si="10"/>
        <v>0</v>
      </c>
      <c r="O32" s="79" t="str">
        <f t="shared" si="6"/>
        <v>Error</v>
      </c>
      <c r="P32" s="90">
        <f t="shared" si="7"/>
        <v>0</v>
      </c>
      <c r="Q32" s="90">
        <f t="shared" si="8"/>
        <v>0</v>
      </c>
      <c r="R32" s="90">
        <f t="shared" si="9"/>
        <v>0</v>
      </c>
    </row>
    <row r="33" spans="2:18" x14ac:dyDescent="0.35">
      <c r="B33" s="73"/>
      <c r="C33" s="137" t="str">
        <f t="shared" si="0"/>
        <v/>
      </c>
      <c r="D33" s="137" t="str">
        <f t="shared" si="1"/>
        <v/>
      </c>
      <c r="E33" s="138" t="str">
        <f t="shared" si="2"/>
        <v/>
      </c>
      <c r="F33" s="95"/>
      <c r="G33" s="86"/>
      <c r="H33" s="139"/>
      <c r="I33" s="95"/>
      <c r="J33" s="84"/>
      <c r="K33" s="86"/>
      <c r="L33" s="87">
        <f t="shared" si="3"/>
        <v>0</v>
      </c>
      <c r="M33" s="88">
        <f t="shared" si="4"/>
        <v>0</v>
      </c>
      <c r="N33" s="89">
        <f t="shared" si="10"/>
        <v>0</v>
      </c>
      <c r="O33" s="79" t="str">
        <f t="shared" si="6"/>
        <v>Error</v>
      </c>
      <c r="P33" s="90">
        <f t="shared" si="7"/>
        <v>0</v>
      </c>
      <c r="Q33" s="90">
        <f t="shared" si="8"/>
        <v>0</v>
      </c>
      <c r="R33" s="90">
        <f t="shared" si="9"/>
        <v>0</v>
      </c>
    </row>
    <row r="34" spans="2:18" x14ac:dyDescent="0.35">
      <c r="B34" s="73"/>
      <c r="C34" s="137" t="str">
        <f t="shared" si="0"/>
        <v/>
      </c>
      <c r="D34" s="137" t="str">
        <f t="shared" si="1"/>
        <v/>
      </c>
      <c r="E34" s="138" t="str">
        <f t="shared" si="2"/>
        <v/>
      </c>
      <c r="F34" s="95"/>
      <c r="G34" s="86"/>
      <c r="H34" s="139"/>
      <c r="I34" s="95"/>
      <c r="J34" s="84"/>
      <c r="K34" s="86"/>
      <c r="L34" s="87">
        <f t="shared" si="3"/>
        <v>0</v>
      </c>
      <c r="M34" s="88">
        <f t="shared" si="4"/>
        <v>0</v>
      </c>
      <c r="N34" s="89">
        <f t="shared" si="10"/>
        <v>0</v>
      </c>
      <c r="O34" s="79" t="str">
        <f t="shared" si="6"/>
        <v>Error</v>
      </c>
      <c r="P34" s="90">
        <f t="shared" si="7"/>
        <v>0</v>
      </c>
      <c r="Q34" s="90">
        <f t="shared" si="8"/>
        <v>0</v>
      </c>
      <c r="R34" s="90">
        <f t="shared" si="9"/>
        <v>0</v>
      </c>
    </row>
    <row r="35" spans="2:18" x14ac:dyDescent="0.35">
      <c r="B35" s="73"/>
      <c r="C35" s="137" t="str">
        <f t="shared" si="0"/>
        <v/>
      </c>
      <c r="D35" s="137" t="str">
        <f t="shared" si="1"/>
        <v/>
      </c>
      <c r="E35" s="138" t="str">
        <f t="shared" si="2"/>
        <v/>
      </c>
      <c r="F35" s="95"/>
      <c r="G35" s="86"/>
      <c r="H35" s="139"/>
      <c r="I35" s="95"/>
      <c r="J35" s="84"/>
      <c r="K35" s="86"/>
      <c r="L35" s="87">
        <f t="shared" si="3"/>
        <v>0</v>
      </c>
      <c r="M35" s="88">
        <f t="shared" si="4"/>
        <v>0</v>
      </c>
      <c r="N35" s="89">
        <f t="shared" si="10"/>
        <v>0</v>
      </c>
      <c r="O35" s="79" t="str">
        <f t="shared" si="6"/>
        <v>Error</v>
      </c>
      <c r="P35" s="90">
        <f t="shared" si="7"/>
        <v>0</v>
      </c>
      <c r="Q35" s="90">
        <f t="shared" si="8"/>
        <v>0</v>
      </c>
      <c r="R35" s="90">
        <f t="shared" si="9"/>
        <v>0</v>
      </c>
    </row>
  </sheetData>
  <sheetProtection password="E359" sheet="1" objects="1" scenarios="1" selectLockedCells="1"/>
  <dataConsolidate/>
  <mergeCells count="21">
    <mergeCell ref="D11:D12"/>
    <mergeCell ref="B4:B5"/>
    <mergeCell ref="C4:C5"/>
    <mergeCell ref="B6:B7"/>
    <mergeCell ref="C6:C7"/>
    <mergeCell ref="O11:O12"/>
    <mergeCell ref="B2:O2"/>
    <mergeCell ref="E11:E12"/>
    <mergeCell ref="F11:F12"/>
    <mergeCell ref="N11:N12"/>
    <mergeCell ref="H11:H12"/>
    <mergeCell ref="I11:I12"/>
    <mergeCell ref="J11:J12"/>
    <mergeCell ref="K11:K12"/>
    <mergeCell ref="L11:L12"/>
    <mergeCell ref="M11:M12"/>
    <mergeCell ref="G11:G12"/>
    <mergeCell ref="B8:B9"/>
    <mergeCell ref="C8:C9"/>
    <mergeCell ref="B11:B12"/>
    <mergeCell ref="C11:C12"/>
  </mergeCells>
  <conditionalFormatting sqref="O13:O14">
    <cfRule type="containsText" dxfId="148" priority="225" operator="containsText" text="Error">
      <formula>NOT(ISERROR(SEARCH("Error",O13)))</formula>
    </cfRule>
  </conditionalFormatting>
  <conditionalFormatting sqref="C13:E14">
    <cfRule type="containsBlanks" dxfId="147" priority="118">
      <formula>LEN(TRIM(C13))=0</formula>
    </cfRule>
  </conditionalFormatting>
  <conditionalFormatting sqref="H11:H12">
    <cfRule type="expression" dxfId="146" priority="218">
      <formula>OR(COUNTIF($P:$P,1),COUNTIF($R:$R,1))</formula>
    </cfRule>
  </conditionalFormatting>
  <conditionalFormatting sqref="D13">
    <cfRule type="expression" dxfId="145" priority="120">
      <formula>OR(COUNTIF(P13,1),COUNTIF(Q13,1))</formula>
    </cfRule>
  </conditionalFormatting>
  <conditionalFormatting sqref="D14">
    <cfRule type="expression" dxfId="144" priority="121">
      <formula>OR(COUNTIF(P14,1),COUNTIF(Q14,1))</formula>
    </cfRule>
  </conditionalFormatting>
  <conditionalFormatting sqref="D11:D12">
    <cfRule type="expression" dxfId="143" priority="119">
      <formula>OR(COUNTIF($P:$P,1),COUNTIF($Q:$Q,1))</formula>
    </cfRule>
  </conditionalFormatting>
  <conditionalFormatting sqref="O15">
    <cfRule type="containsText" dxfId="142" priority="63" operator="containsText" text="Error">
      <formula>NOT(ISERROR(SEARCH("Error",O15)))</formula>
    </cfRule>
  </conditionalFormatting>
  <conditionalFormatting sqref="C15:E15">
    <cfRule type="containsBlanks" dxfId="141" priority="61">
      <formula>LEN(TRIM(C15))=0</formula>
    </cfRule>
  </conditionalFormatting>
  <conditionalFormatting sqref="D15">
    <cfRule type="expression" dxfId="140" priority="62">
      <formula>OR(COUNTIF(P15,1),COUNTIF(Q15,1))</formula>
    </cfRule>
  </conditionalFormatting>
  <conditionalFormatting sqref="O16">
    <cfRule type="containsText" dxfId="139" priority="60" operator="containsText" text="Error">
      <formula>NOT(ISERROR(SEARCH("Error",O16)))</formula>
    </cfRule>
  </conditionalFormatting>
  <conditionalFormatting sqref="C16:E16">
    <cfRule type="containsBlanks" dxfId="138" priority="58">
      <formula>LEN(TRIM(C16))=0</formula>
    </cfRule>
  </conditionalFormatting>
  <conditionalFormatting sqref="D16">
    <cfRule type="expression" dxfId="137" priority="59">
      <formula>OR(COUNTIF(P16,1),COUNTIF(Q16,1))</formula>
    </cfRule>
  </conditionalFormatting>
  <conditionalFormatting sqref="O17">
    <cfRule type="containsText" dxfId="136" priority="57" operator="containsText" text="Error">
      <formula>NOT(ISERROR(SEARCH("Error",O17)))</formula>
    </cfRule>
  </conditionalFormatting>
  <conditionalFormatting sqref="C17:E17">
    <cfRule type="containsBlanks" dxfId="135" priority="55">
      <formula>LEN(TRIM(C17))=0</formula>
    </cfRule>
  </conditionalFormatting>
  <conditionalFormatting sqref="D17">
    <cfRule type="expression" dxfId="134" priority="56">
      <formula>OR(COUNTIF(P17,1),COUNTIF(Q17,1))</formula>
    </cfRule>
  </conditionalFormatting>
  <conditionalFormatting sqref="O18">
    <cfRule type="containsText" dxfId="133" priority="54" operator="containsText" text="Error">
      <formula>NOT(ISERROR(SEARCH("Error",O18)))</formula>
    </cfRule>
  </conditionalFormatting>
  <conditionalFormatting sqref="C18:E18">
    <cfRule type="containsBlanks" dxfId="132" priority="52">
      <formula>LEN(TRIM(C18))=0</formula>
    </cfRule>
  </conditionalFormatting>
  <conditionalFormatting sqref="D18">
    <cfRule type="expression" dxfId="131" priority="53">
      <formula>OR(COUNTIF(P18,1),COUNTIF(Q18,1))</formula>
    </cfRule>
  </conditionalFormatting>
  <conditionalFormatting sqref="O19">
    <cfRule type="containsText" dxfId="130" priority="51" operator="containsText" text="Error">
      <formula>NOT(ISERROR(SEARCH("Error",O19)))</formula>
    </cfRule>
  </conditionalFormatting>
  <conditionalFormatting sqref="C19:E19">
    <cfRule type="containsBlanks" dxfId="129" priority="49">
      <formula>LEN(TRIM(C19))=0</formula>
    </cfRule>
  </conditionalFormatting>
  <conditionalFormatting sqref="D19">
    <cfRule type="expression" dxfId="128" priority="50">
      <formula>OR(COUNTIF(P19,1),COUNTIF(Q19,1))</formula>
    </cfRule>
  </conditionalFormatting>
  <conditionalFormatting sqref="O20">
    <cfRule type="containsText" dxfId="127" priority="48" operator="containsText" text="Error">
      <formula>NOT(ISERROR(SEARCH("Error",O20)))</formula>
    </cfRule>
  </conditionalFormatting>
  <conditionalFormatting sqref="C20:E20">
    <cfRule type="containsBlanks" dxfId="126" priority="46">
      <formula>LEN(TRIM(C20))=0</formula>
    </cfRule>
  </conditionalFormatting>
  <conditionalFormatting sqref="D20">
    <cfRule type="expression" dxfId="125" priority="47">
      <formula>OR(COUNTIF(P20,1),COUNTIF(Q20,1))</formula>
    </cfRule>
  </conditionalFormatting>
  <conditionalFormatting sqref="O21">
    <cfRule type="containsText" dxfId="124" priority="45" operator="containsText" text="Error">
      <formula>NOT(ISERROR(SEARCH("Error",O21)))</formula>
    </cfRule>
  </conditionalFormatting>
  <conditionalFormatting sqref="C21:E21">
    <cfRule type="containsBlanks" dxfId="123" priority="43">
      <formula>LEN(TRIM(C21))=0</formula>
    </cfRule>
  </conditionalFormatting>
  <conditionalFormatting sqref="D21">
    <cfRule type="expression" dxfId="122" priority="44">
      <formula>OR(COUNTIF(P21,1),COUNTIF(Q21,1))</formula>
    </cfRule>
  </conditionalFormatting>
  <conditionalFormatting sqref="O35">
    <cfRule type="containsText" dxfId="121" priority="42" operator="containsText" text="Error">
      <formula>NOT(ISERROR(SEARCH("Error",O35)))</formula>
    </cfRule>
  </conditionalFormatting>
  <conditionalFormatting sqref="C35:E35">
    <cfRule type="containsBlanks" dxfId="120" priority="40">
      <formula>LEN(TRIM(C35))=0</formula>
    </cfRule>
  </conditionalFormatting>
  <conditionalFormatting sqref="D35">
    <cfRule type="expression" dxfId="119" priority="41">
      <formula>OR(COUNTIF(P35,1),COUNTIF(Q35,1))</formula>
    </cfRule>
  </conditionalFormatting>
  <conditionalFormatting sqref="O22">
    <cfRule type="containsText" dxfId="118" priority="39" operator="containsText" text="Error">
      <formula>NOT(ISERROR(SEARCH("Error",O22)))</formula>
    </cfRule>
  </conditionalFormatting>
  <conditionalFormatting sqref="C22:E22">
    <cfRule type="containsBlanks" dxfId="117" priority="37">
      <formula>LEN(TRIM(C22))=0</formula>
    </cfRule>
  </conditionalFormatting>
  <conditionalFormatting sqref="D22">
    <cfRule type="expression" dxfId="116" priority="38">
      <formula>OR(COUNTIF(P22,1),COUNTIF(Q22,1))</formula>
    </cfRule>
  </conditionalFormatting>
  <conditionalFormatting sqref="O23">
    <cfRule type="containsText" dxfId="115" priority="36" operator="containsText" text="Error">
      <formula>NOT(ISERROR(SEARCH("Error",O23)))</formula>
    </cfRule>
  </conditionalFormatting>
  <conditionalFormatting sqref="C23:E23">
    <cfRule type="containsBlanks" dxfId="114" priority="34">
      <formula>LEN(TRIM(C23))=0</formula>
    </cfRule>
  </conditionalFormatting>
  <conditionalFormatting sqref="D23">
    <cfRule type="expression" dxfId="113" priority="35">
      <formula>OR(COUNTIF(P23,1),COUNTIF(Q23,1))</formula>
    </cfRule>
  </conditionalFormatting>
  <conditionalFormatting sqref="O24">
    <cfRule type="containsText" dxfId="112" priority="33" operator="containsText" text="Error">
      <formula>NOT(ISERROR(SEARCH("Error",O24)))</formula>
    </cfRule>
  </conditionalFormatting>
  <conditionalFormatting sqref="C24:E24">
    <cfRule type="containsBlanks" dxfId="111" priority="31">
      <formula>LEN(TRIM(C24))=0</formula>
    </cfRule>
  </conditionalFormatting>
  <conditionalFormatting sqref="D24">
    <cfRule type="expression" dxfId="110" priority="32">
      <formula>OR(COUNTIF(P24,1),COUNTIF(Q24,1))</formula>
    </cfRule>
  </conditionalFormatting>
  <conditionalFormatting sqref="O25">
    <cfRule type="containsText" dxfId="109" priority="30" operator="containsText" text="Error">
      <formula>NOT(ISERROR(SEARCH("Error",O25)))</formula>
    </cfRule>
  </conditionalFormatting>
  <conditionalFormatting sqref="C25:E25">
    <cfRule type="containsBlanks" dxfId="108" priority="28">
      <formula>LEN(TRIM(C25))=0</formula>
    </cfRule>
  </conditionalFormatting>
  <conditionalFormatting sqref="D25">
    <cfRule type="expression" dxfId="107" priority="29">
      <formula>OR(COUNTIF(P25,1),COUNTIF(Q25,1))</formula>
    </cfRule>
  </conditionalFormatting>
  <conditionalFormatting sqref="O26">
    <cfRule type="containsText" dxfId="106" priority="27" operator="containsText" text="Error">
      <formula>NOT(ISERROR(SEARCH("Error",O26)))</formula>
    </cfRule>
  </conditionalFormatting>
  <conditionalFormatting sqref="C26:E26">
    <cfRule type="containsBlanks" dxfId="105" priority="25">
      <formula>LEN(TRIM(C26))=0</formula>
    </cfRule>
  </conditionalFormatting>
  <conditionalFormatting sqref="D26">
    <cfRule type="expression" dxfId="104" priority="26">
      <formula>OR(COUNTIF(P26,1),COUNTIF(Q26,1))</formula>
    </cfRule>
  </conditionalFormatting>
  <conditionalFormatting sqref="O27">
    <cfRule type="containsText" dxfId="103" priority="24" operator="containsText" text="Error">
      <formula>NOT(ISERROR(SEARCH("Error",O27)))</formula>
    </cfRule>
  </conditionalFormatting>
  <conditionalFormatting sqref="C27:E27">
    <cfRule type="containsBlanks" dxfId="102" priority="22">
      <formula>LEN(TRIM(C27))=0</formula>
    </cfRule>
  </conditionalFormatting>
  <conditionalFormatting sqref="D27">
    <cfRule type="expression" dxfId="101" priority="23">
      <formula>OR(COUNTIF(P27,1),COUNTIF(Q27,1))</formula>
    </cfRule>
  </conditionalFormatting>
  <conditionalFormatting sqref="O28">
    <cfRule type="containsText" dxfId="100" priority="21" operator="containsText" text="Error">
      <formula>NOT(ISERROR(SEARCH("Error",O28)))</formula>
    </cfRule>
  </conditionalFormatting>
  <conditionalFormatting sqref="C28:E28">
    <cfRule type="containsBlanks" dxfId="99" priority="19">
      <formula>LEN(TRIM(C28))=0</formula>
    </cfRule>
  </conditionalFormatting>
  <conditionalFormatting sqref="D28">
    <cfRule type="expression" dxfId="98" priority="20">
      <formula>OR(COUNTIF(P28,1),COUNTIF(Q28,1))</formula>
    </cfRule>
  </conditionalFormatting>
  <conditionalFormatting sqref="O29">
    <cfRule type="containsText" dxfId="97" priority="18" operator="containsText" text="Error">
      <formula>NOT(ISERROR(SEARCH("Error",O29)))</formula>
    </cfRule>
  </conditionalFormatting>
  <conditionalFormatting sqref="C29:E29">
    <cfRule type="containsBlanks" dxfId="96" priority="16">
      <formula>LEN(TRIM(C29))=0</formula>
    </cfRule>
  </conditionalFormatting>
  <conditionalFormatting sqref="D29">
    <cfRule type="expression" dxfId="95" priority="17">
      <formula>OR(COUNTIF(P29,1),COUNTIF(Q29,1))</formula>
    </cfRule>
  </conditionalFormatting>
  <conditionalFormatting sqref="O30">
    <cfRule type="containsText" dxfId="94" priority="15" operator="containsText" text="Error">
      <formula>NOT(ISERROR(SEARCH("Error",O30)))</formula>
    </cfRule>
  </conditionalFormatting>
  <conditionalFormatting sqref="C30:E30">
    <cfRule type="containsBlanks" dxfId="93" priority="13">
      <formula>LEN(TRIM(C30))=0</formula>
    </cfRule>
  </conditionalFormatting>
  <conditionalFormatting sqref="D30">
    <cfRule type="expression" dxfId="92" priority="14">
      <formula>OR(COUNTIF(P30,1),COUNTIF(Q30,1))</formula>
    </cfRule>
  </conditionalFormatting>
  <conditionalFormatting sqref="O31">
    <cfRule type="containsText" dxfId="91" priority="12" operator="containsText" text="Error">
      <formula>NOT(ISERROR(SEARCH("Error",O31)))</formula>
    </cfRule>
  </conditionalFormatting>
  <conditionalFormatting sqref="C31:E31">
    <cfRule type="containsBlanks" dxfId="90" priority="10">
      <formula>LEN(TRIM(C31))=0</formula>
    </cfRule>
  </conditionalFormatting>
  <conditionalFormatting sqref="D31">
    <cfRule type="expression" dxfId="89" priority="11">
      <formula>OR(COUNTIF(P31,1),COUNTIF(Q31,1))</formula>
    </cfRule>
  </conditionalFormatting>
  <conditionalFormatting sqref="O32">
    <cfRule type="containsText" dxfId="88" priority="9" operator="containsText" text="Error">
      <formula>NOT(ISERROR(SEARCH("Error",O32)))</formula>
    </cfRule>
  </conditionalFormatting>
  <conditionalFormatting sqref="C32:E32">
    <cfRule type="containsBlanks" dxfId="87" priority="7">
      <formula>LEN(TRIM(C32))=0</formula>
    </cfRule>
  </conditionalFormatting>
  <conditionalFormatting sqref="D32">
    <cfRule type="expression" dxfId="86" priority="8">
      <formula>OR(COUNTIF(P32,1),COUNTIF(Q32,1))</formula>
    </cfRule>
  </conditionalFormatting>
  <conditionalFormatting sqref="O33">
    <cfRule type="containsText" dxfId="85" priority="6" operator="containsText" text="Error">
      <formula>NOT(ISERROR(SEARCH("Error",O33)))</formula>
    </cfRule>
  </conditionalFormatting>
  <conditionalFormatting sqref="C33:E33">
    <cfRule type="containsBlanks" dxfId="84" priority="4">
      <formula>LEN(TRIM(C33))=0</formula>
    </cfRule>
  </conditionalFormatting>
  <conditionalFormatting sqref="D33">
    <cfRule type="expression" dxfId="83" priority="5">
      <formula>OR(COUNTIF(P33,1),COUNTIF(Q33,1))</formula>
    </cfRule>
  </conditionalFormatting>
  <conditionalFormatting sqref="O34">
    <cfRule type="containsText" dxfId="82" priority="3" operator="containsText" text="Error">
      <formula>NOT(ISERROR(SEARCH("Error",O34)))</formula>
    </cfRule>
  </conditionalFormatting>
  <conditionalFormatting sqref="C34:E34">
    <cfRule type="containsBlanks" dxfId="81" priority="1">
      <formula>LEN(TRIM(C34))=0</formula>
    </cfRule>
  </conditionalFormatting>
  <conditionalFormatting sqref="D34">
    <cfRule type="expression" dxfId="80" priority="2">
      <formula>OR(COUNTIF(P34,1),COUNTIF(Q34,1))</formula>
    </cfRule>
  </conditionalFormatting>
  <dataValidations count="8">
    <dataValidation type="list" allowBlank="1" showInputMessage="1" showErrorMessage="1" error="Click arrow to select Receiving Country" prompt="Click arrow to select Receiving Country" sqref="H13:H35">
      <formula1>SMSCountry</formula1>
    </dataValidation>
    <dataValidation allowBlank="1" showInputMessage="1" showErrorMessage="1" error="Please encode City of Destination" prompt="Please encode City of Destination" sqref="I13:I35"/>
    <dataValidation allowBlank="1" showInputMessage="1" showErrorMessage="1" error="Please encode City of Departure" prompt="Please encode City of Departure" sqref="F13:F35"/>
    <dataValidation type="whole" allowBlank="1" showInputMessage="1" showErrorMessage="1" error="Format error (wole number only)" prompt="Please encode number (whole number only)" sqref="G13:G35">
      <formula1>0</formula1>
      <formula2>50000</formula2>
    </dataValidation>
    <dataValidation allowBlank="1" showInputMessage="1" errorTitle="Warning: Max Ceilings exceeded" error="Please be aware that this exceed the &quot;Ceilings&quot; for the maximum amounts for staff cost by country" sqref="L13:L35"/>
    <dataValidation type="list" allowBlank="1" showInputMessage="1" showErrorMessage="1" error="Click arrow to select Distance" prompt="Click arrow to select Distance" sqref="J13:J35">
      <formula1>TravelBands</formula1>
    </dataValidation>
    <dataValidation type="list" allowBlank="1" showInputMessage="1" showErrorMessage="1" error="Click arrow to select Partner N°" prompt="Click arrow to select Partner N°" sqref="B13:B35">
      <formula1>PartnerN°</formula1>
    </dataValidation>
    <dataValidation type="list" allowBlank="1" showInputMessage="1" showErrorMessage="1" error="Please click to select  Number of days - Min 5 days / Max 60 days" prompt="Please click to select  Number of days - Min 5 days / Max 60 days" sqref="K13:K35">
      <formula1>StaffSMSDays</formula1>
    </dataValidation>
  </dataValidations>
  <printOptions horizontalCentered="1"/>
  <pageMargins left="0.23622047244094491" right="0.23622047244094491" top="0.39370078740157483" bottom="0.94488188976377963" header="0.31496062992125984" footer="0.31496062992125984"/>
  <pageSetup paperSize="9" scale="35"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80" r:id="rId4" name="Button 3">
              <controlPr defaultSize="0" print="0" autoFill="0" autoPict="0" macro="[0]!Button3_Click">
                <anchor moveWithCells="1" sizeWithCells="1">
                  <from>
                    <xdr:col>2</xdr:col>
                    <xdr:colOff>1485900</xdr:colOff>
                    <xdr:row>1</xdr:row>
                    <xdr:rowOff>83820</xdr:rowOff>
                  </from>
                  <to>
                    <xdr:col>2</xdr:col>
                    <xdr:colOff>3284220</xdr:colOff>
                    <xdr:row>1</xdr:row>
                    <xdr:rowOff>441960</xdr:rowOff>
                  </to>
                </anchor>
              </controlPr>
            </control>
          </mc:Choice>
        </mc:AlternateContent>
        <mc:AlternateContent xmlns:mc="http://schemas.openxmlformats.org/markup-compatibility/2006">
          <mc:Choice Requires="x14">
            <control shapeId="36881" r:id="rId5" name="Button 1">
              <controlPr defaultSize="0" print="0" autoFill="0" autoPict="0" macro="[0]!AddRow">
                <anchor moveWithCells="1" sizeWithCells="1">
                  <from>
                    <xdr:col>1</xdr:col>
                    <xdr:colOff>83820</xdr:colOff>
                    <xdr:row>1</xdr:row>
                    <xdr:rowOff>76200</xdr:rowOff>
                  </from>
                  <to>
                    <xdr:col>1</xdr:col>
                    <xdr:colOff>1668780</xdr:colOff>
                    <xdr:row>1</xdr:row>
                    <xdr:rowOff>441960</xdr:rowOff>
                  </to>
                </anchor>
              </controlPr>
            </control>
          </mc:Choice>
        </mc:AlternateContent>
        <mc:AlternateContent xmlns:mc="http://schemas.openxmlformats.org/markup-compatibility/2006">
          <mc:Choice Requires="x14">
            <control shapeId="36882" r:id="rId6" name="Button 2">
              <controlPr defaultSize="0" print="0" autoFill="0" autoPict="0" macro="[0]!DeleteRow">
                <anchor moveWithCells="1" sizeWithCells="1">
                  <from>
                    <xdr:col>1</xdr:col>
                    <xdr:colOff>1744980</xdr:colOff>
                    <xdr:row>1</xdr:row>
                    <xdr:rowOff>76200</xdr:rowOff>
                  </from>
                  <to>
                    <xdr:col>2</xdr:col>
                    <xdr:colOff>1402080</xdr:colOff>
                    <xdr:row>1</xdr:row>
                    <xdr:rowOff>441960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7" tint="-0.499984740745262"/>
    <pageSetUpPr fitToPage="1"/>
  </sheetPr>
  <dimension ref="B1:J48"/>
  <sheetViews>
    <sheetView showGridLines="0" zoomScale="55" zoomScaleNormal="55" zoomScaleSheetLayoutView="55" workbookViewId="0">
      <pane ySplit="13" topLeftCell="A14" activePane="bottomLeft" state="frozen"/>
      <selection pane="bottomLeft" activeCell="H39" sqref="H39"/>
    </sheetView>
  </sheetViews>
  <sheetFormatPr defaultColWidth="9.109375" defaultRowHeight="18" x14ac:dyDescent="0.35"/>
  <cols>
    <col min="1" max="1" width="1.6640625" style="16" customWidth="1"/>
    <col min="2" max="2" width="28.6640625" style="16" customWidth="1"/>
    <col min="3" max="4" width="50.6640625" style="16" customWidth="1"/>
    <col min="5" max="5" width="40.6640625" style="16" customWidth="1"/>
    <col min="6" max="6" width="39.6640625" style="16" customWidth="1"/>
    <col min="7" max="7" width="60.6640625" style="16" customWidth="1"/>
    <col min="8" max="9" width="20.6640625" style="16" customWidth="1"/>
    <col min="10" max="10" width="11.33203125" style="16" bestFit="1" customWidth="1"/>
    <col min="11" max="11" width="1.6640625" style="16" customWidth="1"/>
    <col min="12" max="16384" width="9.109375" style="16"/>
  </cols>
  <sheetData>
    <row r="1" spans="2:10" ht="8.1" customHeight="1" x14ac:dyDescent="0.35"/>
    <row r="2" spans="2:10" s="46" customFormat="1" ht="39.9" customHeight="1" x14ac:dyDescent="0.35">
      <c r="B2" s="158" t="s">
        <v>211</v>
      </c>
      <c r="C2" s="158"/>
      <c r="D2" s="158"/>
      <c r="E2" s="158"/>
      <c r="F2" s="158"/>
      <c r="G2" s="158"/>
      <c r="H2" s="158"/>
      <c r="I2" s="158"/>
      <c r="J2" s="158"/>
    </row>
    <row r="3" spans="2:10" s="46" customFormat="1" ht="8.1" customHeight="1" x14ac:dyDescent="0.35">
      <c r="B3" s="81"/>
      <c r="H3" s="124"/>
      <c r="I3" s="124"/>
      <c r="J3" s="67"/>
    </row>
    <row r="4" spans="2:10" s="46" customFormat="1" ht="9.9" customHeight="1" x14ac:dyDescent="0.35">
      <c r="B4" s="196" t="s">
        <v>190</v>
      </c>
      <c r="C4" s="207">
        <f>SUM(I:I)</f>
        <v>111194</v>
      </c>
      <c r="D4" s="94"/>
      <c r="H4" s="124"/>
      <c r="I4" s="124"/>
      <c r="J4" s="67"/>
    </row>
    <row r="5" spans="2:10" s="46" customFormat="1" ht="9.9" customHeight="1" x14ac:dyDescent="0.35">
      <c r="B5" s="197"/>
      <c r="C5" s="208"/>
      <c r="D5" s="94"/>
      <c r="H5" s="124"/>
      <c r="I5" s="124"/>
      <c r="J5" s="67"/>
    </row>
    <row r="6" spans="2:10" s="46" customFormat="1" ht="9.9" customHeight="1" x14ac:dyDescent="0.35">
      <c r="B6" s="197"/>
      <c r="C6" s="208"/>
      <c r="D6" s="94"/>
      <c r="H6" s="124"/>
      <c r="I6" s="124"/>
      <c r="J6" s="67"/>
    </row>
    <row r="7" spans="2:10" s="46" customFormat="1" ht="9.9" customHeight="1" x14ac:dyDescent="0.35">
      <c r="B7" s="197"/>
      <c r="C7" s="208"/>
      <c r="D7" s="94"/>
      <c r="H7" s="124"/>
      <c r="I7" s="124"/>
      <c r="J7" s="67"/>
    </row>
    <row r="8" spans="2:10" s="46" customFormat="1" ht="9.9" customHeight="1" x14ac:dyDescent="0.35">
      <c r="B8" s="197"/>
      <c r="C8" s="208"/>
      <c r="D8" s="94"/>
      <c r="H8" s="124"/>
      <c r="I8" s="124"/>
      <c r="J8" s="67"/>
    </row>
    <row r="9" spans="2:10" s="46" customFormat="1" ht="9.9" customHeight="1" x14ac:dyDescent="0.35">
      <c r="B9" s="198"/>
      <c r="C9" s="209"/>
      <c r="D9" s="94"/>
      <c r="H9" s="124"/>
      <c r="I9" s="124"/>
      <c r="J9" s="67"/>
    </row>
    <row r="10" spans="2:10" s="46" customFormat="1" ht="8.1" customHeight="1" x14ac:dyDescent="0.35">
      <c r="B10" s="47"/>
      <c r="C10" s="48"/>
      <c r="D10" s="48"/>
      <c r="E10" s="48"/>
      <c r="F10" s="48"/>
      <c r="G10" s="48"/>
      <c r="H10" s="49"/>
      <c r="I10" s="49"/>
      <c r="J10" s="71"/>
    </row>
    <row r="11" spans="2:10" s="125" customFormat="1" ht="42" customHeight="1" x14ac:dyDescent="0.35">
      <c r="B11" s="157" t="s">
        <v>235</v>
      </c>
      <c r="C11" s="157" t="s">
        <v>237</v>
      </c>
      <c r="D11" s="157" t="s">
        <v>238</v>
      </c>
      <c r="E11" s="157" t="s">
        <v>197</v>
      </c>
      <c r="F11" s="159" t="s">
        <v>198</v>
      </c>
      <c r="G11" s="159" t="s">
        <v>199</v>
      </c>
      <c r="H11" s="155" t="s">
        <v>171</v>
      </c>
      <c r="I11" s="155" t="s">
        <v>170</v>
      </c>
      <c r="J11" s="155" t="s">
        <v>239</v>
      </c>
    </row>
    <row r="12" spans="2:10" ht="23.85" customHeight="1" x14ac:dyDescent="0.35">
      <c r="B12" s="156"/>
      <c r="C12" s="156"/>
      <c r="D12" s="156"/>
      <c r="E12" s="156"/>
      <c r="F12" s="156"/>
      <c r="G12" s="156"/>
      <c r="H12" s="156"/>
      <c r="I12" s="156"/>
      <c r="J12" s="156"/>
    </row>
    <row r="13" spans="2:10" s="80" customFormat="1" hidden="1" x14ac:dyDescent="0.3">
      <c r="B13" s="45"/>
      <c r="C13" s="137" t="str">
        <f t="shared" ref="C13:C39" si="0">IFERROR(IF(VLOOKUP(B13,PartnerN°Ref,2,FALSE)=0,"",VLOOKUP(B13,PartnerN°Ref,2,FALSE)),"")</f>
        <v/>
      </c>
      <c r="D13" s="137" t="str">
        <f t="shared" ref="D13:D39" si="1">IFERROR(IF(OR(VLOOKUP(B13,PartnerN°Ref,4,FALSE)="Country not found",VLOOKUP(B13,PartnerN°Ref,3,FALSE)=0),"",VLOOKUP(B13,PartnerN°Ref,3,FALSE)),"")</f>
        <v/>
      </c>
      <c r="E13" s="95"/>
      <c r="F13" s="44"/>
      <c r="G13" s="44"/>
      <c r="H13" s="82">
        <v>0</v>
      </c>
      <c r="I13" s="83">
        <f t="shared" ref="I13:I39" si="2">IF(J13="Error",0,ROUND(H13,2))</f>
        <v>0</v>
      </c>
      <c r="J13" s="79" t="str">
        <f t="shared" ref="J13:J39" si="3">IF(OR(COUNTIF(PartnerN°,B13)=0,C13="",COUNTIF(CountryALL,D13)=0,E13="",F13="",G13="",ISNUMBER(H13)=FALSE,IF(ISNUMBER(H13)=TRUE,H13=INT(H13*100)/100=FALSE)),"Error","")</f>
        <v>Error</v>
      </c>
    </row>
    <row r="14" spans="2:10" s="80" customFormat="1" ht="36" x14ac:dyDescent="0.3">
      <c r="B14" s="45" t="s">
        <v>9</v>
      </c>
      <c r="C14" s="137" t="str">
        <f t="shared" si="0"/>
        <v>Kibbutzim College of Education, Technology and Arts</v>
      </c>
      <c r="D14" s="137" t="str">
        <f t="shared" si="1"/>
        <v>Israel</v>
      </c>
      <c r="E14" s="95" t="s">
        <v>413</v>
      </c>
      <c r="F14" s="44" t="s">
        <v>414</v>
      </c>
      <c r="G14" s="44" t="s">
        <v>415</v>
      </c>
      <c r="H14" s="140">
        <v>3750</v>
      </c>
      <c r="I14" s="83">
        <f t="shared" si="2"/>
        <v>3750</v>
      </c>
      <c r="J14" s="79" t="str">
        <f t="shared" si="3"/>
        <v/>
      </c>
    </row>
    <row r="15" spans="2:10" s="80" customFormat="1" ht="72" x14ac:dyDescent="0.3">
      <c r="B15" s="45" t="s">
        <v>9</v>
      </c>
      <c r="C15" s="137" t="str">
        <f t="shared" si="0"/>
        <v>Kibbutzim College of Education, Technology and Arts</v>
      </c>
      <c r="D15" s="137" t="str">
        <f t="shared" si="1"/>
        <v>Israel</v>
      </c>
      <c r="E15" s="95" t="s">
        <v>461</v>
      </c>
      <c r="F15" s="44" t="s">
        <v>414</v>
      </c>
      <c r="G15" s="44" t="s">
        <v>462</v>
      </c>
      <c r="H15" s="140">
        <v>5000</v>
      </c>
      <c r="I15" s="83">
        <f t="shared" si="2"/>
        <v>5000</v>
      </c>
      <c r="J15" s="79" t="str">
        <f t="shared" si="3"/>
        <v/>
      </c>
    </row>
    <row r="16" spans="2:10" s="80" customFormat="1" ht="36" x14ac:dyDescent="0.3">
      <c r="B16" s="45" t="s">
        <v>9</v>
      </c>
      <c r="C16" s="137" t="str">
        <f t="shared" si="0"/>
        <v>Kibbutzim College of Education, Technology and Arts</v>
      </c>
      <c r="D16" s="137" t="str">
        <f t="shared" si="1"/>
        <v>Israel</v>
      </c>
      <c r="E16" s="95" t="s">
        <v>416</v>
      </c>
      <c r="F16" s="44" t="s">
        <v>414</v>
      </c>
      <c r="G16" s="44" t="s">
        <v>417</v>
      </c>
      <c r="H16" s="140">
        <v>3500</v>
      </c>
      <c r="I16" s="83">
        <f t="shared" si="2"/>
        <v>3500</v>
      </c>
      <c r="J16" s="79" t="str">
        <f t="shared" si="3"/>
        <v/>
      </c>
    </row>
    <row r="17" spans="2:10" s="80" customFormat="1" ht="36" x14ac:dyDescent="0.3">
      <c r="B17" s="45" t="s">
        <v>9</v>
      </c>
      <c r="C17" s="137" t="str">
        <f t="shared" si="0"/>
        <v>Kibbutzim College of Education, Technology and Arts</v>
      </c>
      <c r="D17" s="137" t="str">
        <f t="shared" si="1"/>
        <v>Israel</v>
      </c>
      <c r="E17" s="95" t="s">
        <v>463</v>
      </c>
      <c r="F17" s="44" t="s">
        <v>414</v>
      </c>
      <c r="G17" s="44" t="s">
        <v>464</v>
      </c>
      <c r="H17" s="140">
        <v>2500</v>
      </c>
      <c r="I17" s="83">
        <f t="shared" si="2"/>
        <v>2500</v>
      </c>
      <c r="J17" s="79" t="str">
        <f t="shared" si="3"/>
        <v/>
      </c>
    </row>
    <row r="18" spans="2:10" s="80" customFormat="1" ht="36" x14ac:dyDescent="0.3">
      <c r="B18" s="45" t="s">
        <v>9</v>
      </c>
      <c r="C18" s="137" t="str">
        <f t="shared" si="0"/>
        <v>Kibbutzim College of Education, Technology and Arts</v>
      </c>
      <c r="D18" s="137" t="str">
        <f t="shared" si="1"/>
        <v>Israel</v>
      </c>
      <c r="E18" s="95" t="s">
        <v>418</v>
      </c>
      <c r="F18" s="44" t="s">
        <v>414</v>
      </c>
      <c r="G18" s="44" t="s">
        <v>419</v>
      </c>
      <c r="H18" s="140">
        <v>2800</v>
      </c>
      <c r="I18" s="83">
        <f t="shared" si="2"/>
        <v>2800</v>
      </c>
      <c r="J18" s="79" t="str">
        <f t="shared" si="3"/>
        <v/>
      </c>
    </row>
    <row r="19" spans="2:10" s="80" customFormat="1" x14ac:dyDescent="0.3">
      <c r="B19" s="45" t="s">
        <v>10</v>
      </c>
      <c r="C19" s="137" t="str">
        <f t="shared" si="0"/>
        <v>The MOFET Institute</v>
      </c>
      <c r="D19" s="137" t="str">
        <f t="shared" si="1"/>
        <v>Israel</v>
      </c>
      <c r="E19" s="95" t="s">
        <v>420</v>
      </c>
      <c r="F19" s="44" t="s">
        <v>414</v>
      </c>
      <c r="G19" s="95" t="s">
        <v>459</v>
      </c>
      <c r="H19" s="82">
        <v>6440</v>
      </c>
      <c r="I19" s="83">
        <f t="shared" si="2"/>
        <v>6440</v>
      </c>
      <c r="J19" s="79" t="str">
        <f t="shared" si="3"/>
        <v/>
      </c>
    </row>
    <row r="20" spans="2:10" s="80" customFormat="1" ht="36" x14ac:dyDescent="0.3">
      <c r="B20" s="45" t="s">
        <v>10</v>
      </c>
      <c r="C20" s="137" t="str">
        <f t="shared" si="0"/>
        <v>The MOFET Institute</v>
      </c>
      <c r="D20" s="137" t="str">
        <f t="shared" si="1"/>
        <v>Israel</v>
      </c>
      <c r="E20" s="95" t="s">
        <v>460</v>
      </c>
      <c r="F20" s="44" t="s">
        <v>414</v>
      </c>
      <c r="G20" s="44" t="s">
        <v>421</v>
      </c>
      <c r="H20" s="82">
        <v>2020</v>
      </c>
      <c r="I20" s="83">
        <f t="shared" si="2"/>
        <v>2020</v>
      </c>
      <c r="J20" s="79" t="str">
        <f t="shared" si="3"/>
        <v/>
      </c>
    </row>
    <row r="21" spans="2:10" s="80" customFormat="1" ht="36" x14ac:dyDescent="0.3">
      <c r="B21" s="45" t="s">
        <v>10</v>
      </c>
      <c r="C21" s="137" t="str">
        <f t="shared" si="0"/>
        <v>The MOFET Institute</v>
      </c>
      <c r="D21" s="137" t="str">
        <f t="shared" si="1"/>
        <v>Israel</v>
      </c>
      <c r="E21" s="95" t="s">
        <v>422</v>
      </c>
      <c r="F21" s="44" t="s">
        <v>414</v>
      </c>
      <c r="G21" s="44" t="s">
        <v>455</v>
      </c>
      <c r="H21" s="82">
        <v>6630</v>
      </c>
      <c r="I21" s="83">
        <f t="shared" si="2"/>
        <v>6630</v>
      </c>
      <c r="J21" s="79" t="str">
        <f t="shared" si="3"/>
        <v/>
      </c>
    </row>
    <row r="22" spans="2:10" s="80" customFormat="1" ht="72" x14ac:dyDescent="0.3">
      <c r="B22" s="45" t="s">
        <v>11</v>
      </c>
      <c r="C22" s="137" t="str">
        <f t="shared" si="0"/>
        <v>Beit Berl College</v>
      </c>
      <c r="D22" s="137" t="str">
        <f t="shared" si="1"/>
        <v>Israel</v>
      </c>
      <c r="E22" s="95" t="s">
        <v>423</v>
      </c>
      <c r="F22" s="44" t="s">
        <v>414</v>
      </c>
      <c r="G22" s="44" t="s">
        <v>456</v>
      </c>
      <c r="H22" s="82">
        <v>3168</v>
      </c>
      <c r="I22" s="83">
        <f t="shared" si="2"/>
        <v>3168</v>
      </c>
      <c r="J22" s="79" t="str">
        <f t="shared" si="3"/>
        <v/>
      </c>
    </row>
    <row r="23" spans="2:10" s="80" customFormat="1" ht="54" x14ac:dyDescent="0.3">
      <c r="B23" s="45" t="s">
        <v>11</v>
      </c>
      <c r="C23" s="137" t="str">
        <f t="shared" si="0"/>
        <v>Beit Berl College</v>
      </c>
      <c r="D23" s="137" t="str">
        <f t="shared" si="1"/>
        <v>Israel</v>
      </c>
      <c r="E23" s="95" t="s">
        <v>424</v>
      </c>
      <c r="F23" s="44" t="s">
        <v>414</v>
      </c>
      <c r="G23" s="44" t="s">
        <v>457</v>
      </c>
      <c r="H23" s="82">
        <v>6260</v>
      </c>
      <c r="I23" s="83">
        <f t="shared" si="2"/>
        <v>6260</v>
      </c>
      <c r="J23" s="79" t="str">
        <f t="shared" si="3"/>
        <v/>
      </c>
    </row>
    <row r="24" spans="2:10" s="80" customFormat="1" ht="36" x14ac:dyDescent="0.3">
      <c r="B24" s="45" t="s">
        <v>11</v>
      </c>
      <c r="C24" s="137" t="str">
        <f t="shared" si="0"/>
        <v>Beit Berl College</v>
      </c>
      <c r="D24" s="137" t="str">
        <f t="shared" si="1"/>
        <v>Israel</v>
      </c>
      <c r="E24" s="95" t="s">
        <v>425</v>
      </c>
      <c r="F24" s="44" t="s">
        <v>414</v>
      </c>
      <c r="G24" s="44" t="s">
        <v>426</v>
      </c>
      <c r="H24" s="82">
        <v>2374</v>
      </c>
      <c r="I24" s="83">
        <f t="shared" si="2"/>
        <v>2374</v>
      </c>
      <c r="J24" s="79" t="str">
        <f t="shared" si="3"/>
        <v/>
      </c>
    </row>
    <row r="25" spans="2:10" s="80" customFormat="1" x14ac:dyDescent="0.3">
      <c r="B25" s="45" t="s">
        <v>11</v>
      </c>
      <c r="C25" s="137" t="str">
        <f t="shared" si="0"/>
        <v>Beit Berl College</v>
      </c>
      <c r="D25" s="137" t="str">
        <f t="shared" si="1"/>
        <v>Israel</v>
      </c>
      <c r="E25" s="95" t="s">
        <v>427</v>
      </c>
      <c r="F25" s="44" t="s">
        <v>414</v>
      </c>
      <c r="G25" s="44" t="s">
        <v>428</v>
      </c>
      <c r="H25" s="82">
        <v>1300</v>
      </c>
      <c r="I25" s="83">
        <f t="shared" si="2"/>
        <v>1300</v>
      </c>
      <c r="J25" s="79" t="str">
        <f t="shared" si="3"/>
        <v/>
      </c>
    </row>
    <row r="26" spans="2:10" s="80" customFormat="1" ht="36" x14ac:dyDescent="0.3">
      <c r="B26" s="45" t="s">
        <v>12</v>
      </c>
      <c r="C26" s="137" t="str">
        <f t="shared" si="0"/>
        <v>Kaye Academic College of Education</v>
      </c>
      <c r="D26" s="137" t="str">
        <f t="shared" si="1"/>
        <v>Israel</v>
      </c>
      <c r="E26" s="95" t="s">
        <v>429</v>
      </c>
      <c r="F26" s="44" t="s">
        <v>414</v>
      </c>
      <c r="G26" s="44" t="s">
        <v>430</v>
      </c>
      <c r="H26" s="82">
        <v>2000</v>
      </c>
      <c r="I26" s="83">
        <f t="shared" si="2"/>
        <v>2000</v>
      </c>
      <c r="J26" s="79" t="str">
        <f t="shared" si="3"/>
        <v/>
      </c>
    </row>
    <row r="27" spans="2:10" s="80" customFormat="1" x14ac:dyDescent="0.3">
      <c r="B27" s="45" t="s">
        <v>12</v>
      </c>
      <c r="C27" s="137" t="str">
        <f t="shared" si="0"/>
        <v>Kaye Academic College of Education</v>
      </c>
      <c r="D27" s="137" t="str">
        <f t="shared" si="1"/>
        <v>Israel</v>
      </c>
      <c r="E27" s="95" t="s">
        <v>431</v>
      </c>
      <c r="F27" s="44" t="s">
        <v>414</v>
      </c>
      <c r="G27" s="44" t="s">
        <v>432</v>
      </c>
      <c r="H27" s="82">
        <v>9000</v>
      </c>
      <c r="I27" s="83">
        <f t="shared" si="2"/>
        <v>9000</v>
      </c>
      <c r="J27" s="79" t="str">
        <f t="shared" si="3"/>
        <v/>
      </c>
    </row>
    <row r="28" spans="2:10" s="80" customFormat="1" ht="36" x14ac:dyDescent="0.3">
      <c r="B28" s="45" t="s">
        <v>12</v>
      </c>
      <c r="C28" s="137" t="str">
        <f t="shared" si="0"/>
        <v>Kaye Academic College of Education</v>
      </c>
      <c r="D28" s="137" t="str">
        <f t="shared" si="1"/>
        <v>Israel</v>
      </c>
      <c r="E28" s="95" t="s">
        <v>433</v>
      </c>
      <c r="F28" s="44" t="s">
        <v>414</v>
      </c>
      <c r="G28" s="44" t="s">
        <v>434</v>
      </c>
      <c r="H28" s="82">
        <v>5000</v>
      </c>
      <c r="I28" s="83">
        <f t="shared" si="2"/>
        <v>5000</v>
      </c>
      <c r="J28" s="79" t="str">
        <f t="shared" si="3"/>
        <v/>
      </c>
    </row>
    <row r="29" spans="2:10" s="80" customFormat="1" ht="54" x14ac:dyDescent="0.3">
      <c r="B29" s="45" t="s">
        <v>12</v>
      </c>
      <c r="C29" s="137" t="str">
        <f t="shared" si="0"/>
        <v>Kaye Academic College of Education</v>
      </c>
      <c r="D29" s="137" t="str">
        <f t="shared" si="1"/>
        <v>Israel</v>
      </c>
      <c r="E29" s="95" t="s">
        <v>423</v>
      </c>
      <c r="F29" s="44" t="s">
        <v>414</v>
      </c>
      <c r="G29" s="44" t="s">
        <v>435</v>
      </c>
      <c r="H29" s="82">
        <v>2000</v>
      </c>
      <c r="I29" s="83">
        <f t="shared" si="2"/>
        <v>2000</v>
      </c>
      <c r="J29" s="79" t="str">
        <f t="shared" si="3"/>
        <v/>
      </c>
    </row>
    <row r="30" spans="2:10" s="80" customFormat="1" ht="36" x14ac:dyDescent="0.3">
      <c r="B30" s="45" t="s">
        <v>13</v>
      </c>
      <c r="C30" s="137" t="str">
        <f t="shared" si="0"/>
        <v>University of Bucharest</v>
      </c>
      <c r="D30" s="137" t="str">
        <f t="shared" si="1"/>
        <v>Romania</v>
      </c>
      <c r="E30" s="95" t="s">
        <v>425</v>
      </c>
      <c r="F30" s="44" t="s">
        <v>414</v>
      </c>
      <c r="G30" s="44" t="s">
        <v>451</v>
      </c>
      <c r="H30" s="82">
        <v>1500</v>
      </c>
      <c r="I30" s="83">
        <f t="shared" si="2"/>
        <v>1500</v>
      </c>
      <c r="J30" s="79" t="str">
        <f t="shared" si="3"/>
        <v/>
      </c>
    </row>
    <row r="31" spans="2:10" s="80" customFormat="1" ht="72" x14ac:dyDescent="0.3">
      <c r="B31" s="45" t="s">
        <v>13</v>
      </c>
      <c r="C31" s="137" t="str">
        <f t="shared" ref="C31" si="4">IFERROR(IF(VLOOKUP(B31,PartnerN°Ref,2,FALSE)=0,"",VLOOKUP(B31,PartnerN°Ref,2,FALSE)),"")</f>
        <v>University of Bucharest</v>
      </c>
      <c r="D31" s="137" t="str">
        <f t="shared" ref="D31" si="5">IFERROR(IF(OR(VLOOKUP(B31,PartnerN°Ref,4,FALSE)="Country not found",VLOOKUP(B31,PartnerN°Ref,3,FALSE)=0),"",VLOOKUP(B31,PartnerN°Ref,3,FALSE)),"")</f>
        <v>Romania</v>
      </c>
      <c r="E31" s="95" t="s">
        <v>418</v>
      </c>
      <c r="F31" s="44" t="s">
        <v>414</v>
      </c>
      <c r="G31" s="44" t="s">
        <v>452</v>
      </c>
      <c r="H31" s="82">
        <v>4500</v>
      </c>
      <c r="I31" s="83">
        <f t="shared" ref="I31" si="6">IF(J31="Error",0,ROUND(H31,2))</f>
        <v>4500</v>
      </c>
      <c r="J31" s="79" t="str">
        <f t="shared" ref="J31" si="7">IF(OR(COUNTIF(PartnerN°,B31)=0,C31="",COUNTIF(CountryALL,D31)=0,E31="",F31="",G31="",ISNUMBER(H31)=FALSE,IF(ISNUMBER(H31)=TRUE,H31=INT(H31*100)/100=FALSE)),"Error","")</f>
        <v/>
      </c>
    </row>
    <row r="32" spans="2:10" s="80" customFormat="1" ht="108" x14ac:dyDescent="0.3">
      <c r="B32" s="45" t="s">
        <v>14</v>
      </c>
      <c r="C32" s="137" t="str">
        <f t="shared" si="0"/>
        <v>The University of Exeter</v>
      </c>
      <c r="D32" s="137" t="str">
        <f t="shared" si="1"/>
        <v>United Kingdom</v>
      </c>
      <c r="E32" s="95" t="s">
        <v>436</v>
      </c>
      <c r="F32" s="44" t="s">
        <v>414</v>
      </c>
      <c r="G32" s="44" t="s">
        <v>476</v>
      </c>
      <c r="H32" s="82">
        <v>5564</v>
      </c>
      <c r="I32" s="83">
        <f t="shared" si="2"/>
        <v>5564</v>
      </c>
      <c r="J32" s="79" t="str">
        <f t="shared" si="3"/>
        <v/>
      </c>
    </row>
    <row r="33" spans="2:10" s="80" customFormat="1" ht="36" x14ac:dyDescent="0.3">
      <c r="B33" s="45" t="s">
        <v>14</v>
      </c>
      <c r="C33" s="137" t="str">
        <f t="shared" si="0"/>
        <v>The University of Exeter</v>
      </c>
      <c r="D33" s="137" t="str">
        <f t="shared" si="1"/>
        <v>United Kingdom</v>
      </c>
      <c r="E33" s="95" t="s">
        <v>425</v>
      </c>
      <c r="F33" s="44" t="s">
        <v>414</v>
      </c>
      <c r="G33" s="44" t="s">
        <v>477</v>
      </c>
      <c r="H33" s="82">
        <v>1000</v>
      </c>
      <c r="I33" s="83">
        <f t="shared" si="2"/>
        <v>1000</v>
      </c>
      <c r="J33" s="79" t="str">
        <f t="shared" si="3"/>
        <v/>
      </c>
    </row>
    <row r="34" spans="2:10" s="80" customFormat="1" ht="36" x14ac:dyDescent="0.3">
      <c r="B34" s="45" t="s">
        <v>15</v>
      </c>
      <c r="C34" s="137" t="str">
        <f t="shared" si="0"/>
        <v>Tallinn University</v>
      </c>
      <c r="D34" s="137" t="str">
        <f t="shared" si="1"/>
        <v>Estonia</v>
      </c>
      <c r="E34" s="95" t="s">
        <v>418</v>
      </c>
      <c r="F34" s="44" t="s">
        <v>414</v>
      </c>
      <c r="G34" s="44" t="s">
        <v>437</v>
      </c>
      <c r="H34" s="82">
        <v>6375</v>
      </c>
      <c r="I34" s="83">
        <f t="shared" si="2"/>
        <v>6375</v>
      </c>
      <c r="J34" s="79" t="str">
        <f t="shared" si="3"/>
        <v/>
      </c>
    </row>
    <row r="35" spans="2:10" s="80" customFormat="1" ht="36" x14ac:dyDescent="0.3">
      <c r="B35" s="45" t="s">
        <v>16</v>
      </c>
      <c r="C35" s="137" t="str">
        <f t="shared" si="0"/>
        <v>Gordon Academic College of Education</v>
      </c>
      <c r="D35" s="137" t="str">
        <f t="shared" si="1"/>
        <v>Israel</v>
      </c>
      <c r="E35" s="95" t="s">
        <v>438</v>
      </c>
      <c r="F35" s="44" t="s">
        <v>414</v>
      </c>
      <c r="G35" s="44" t="s">
        <v>441</v>
      </c>
      <c r="H35" s="82">
        <v>3903</v>
      </c>
      <c r="I35" s="83">
        <f t="shared" si="2"/>
        <v>3903</v>
      </c>
      <c r="J35" s="79" t="str">
        <f t="shared" si="3"/>
        <v/>
      </c>
    </row>
    <row r="36" spans="2:10" s="80" customFormat="1" ht="54" x14ac:dyDescent="0.3">
      <c r="B36" s="45" t="s">
        <v>16</v>
      </c>
      <c r="C36" s="137" t="str">
        <f t="shared" si="0"/>
        <v>Gordon Academic College of Education</v>
      </c>
      <c r="D36" s="137" t="str">
        <f t="shared" ref="D36:D38" si="8">IFERROR(IF(OR(VLOOKUP(B36,PartnerN°Ref,4,FALSE)="Country not found",VLOOKUP(B36,PartnerN°Ref,3,FALSE)=0),"",VLOOKUP(B36,PartnerN°Ref,3,FALSE)),"")</f>
        <v>Israel</v>
      </c>
      <c r="E36" s="95" t="s">
        <v>439</v>
      </c>
      <c r="F36" s="44" t="s">
        <v>414</v>
      </c>
      <c r="G36" s="44" t="s">
        <v>440</v>
      </c>
      <c r="H36" s="82">
        <v>1144</v>
      </c>
      <c r="I36" s="83">
        <f t="shared" si="2"/>
        <v>1144</v>
      </c>
      <c r="J36" s="79" t="str">
        <f t="shared" ref="J36:J38" si="9">IF(OR(COUNTIF(PartnerN°,B36)=0,C36="",COUNTIF(CountryALL,D36)=0,E36="",F36="",G36="",ISNUMBER(H36)=FALSE,IF(ISNUMBER(H36)=TRUE,H36=INT(H36*100)/100=FALSE)),"Error","")</f>
        <v/>
      </c>
    </row>
    <row r="37" spans="2:10" s="80" customFormat="1" x14ac:dyDescent="0.3">
      <c r="B37" s="45" t="s">
        <v>17</v>
      </c>
      <c r="C37" s="137" t="str">
        <f t="shared" si="0"/>
        <v>The College of Sakhnin</v>
      </c>
      <c r="D37" s="137" t="str">
        <f t="shared" si="8"/>
        <v>Israel</v>
      </c>
      <c r="E37" s="95" t="s">
        <v>478</v>
      </c>
      <c r="F37" s="44" t="s">
        <v>414</v>
      </c>
      <c r="G37" s="44" t="s">
        <v>479</v>
      </c>
      <c r="H37" s="82">
        <v>1500</v>
      </c>
      <c r="I37" s="83">
        <f t="shared" si="2"/>
        <v>1500</v>
      </c>
      <c r="J37" s="79" t="str">
        <f t="shared" si="9"/>
        <v/>
      </c>
    </row>
    <row r="38" spans="2:10" s="80" customFormat="1" ht="36" x14ac:dyDescent="0.3">
      <c r="B38" s="45" t="s">
        <v>17</v>
      </c>
      <c r="C38" s="137" t="str">
        <f t="shared" ref="C38" si="10">IFERROR(IF(VLOOKUP(B38,PartnerN°Ref,2,FALSE)=0,"",VLOOKUP(B38,PartnerN°Ref,2,FALSE)),"")</f>
        <v>The College of Sakhnin</v>
      </c>
      <c r="D38" s="137" t="str">
        <f t="shared" si="8"/>
        <v>Israel</v>
      </c>
      <c r="E38" s="95" t="s">
        <v>438</v>
      </c>
      <c r="F38" s="44" t="s">
        <v>414</v>
      </c>
      <c r="G38" s="44" t="s">
        <v>441</v>
      </c>
      <c r="H38" s="82">
        <v>3966</v>
      </c>
      <c r="I38" s="83">
        <f t="shared" ref="I38" si="11">IF(J38="Error",0,ROUND(H38,2))</f>
        <v>3966</v>
      </c>
      <c r="J38" s="79" t="str">
        <f t="shared" si="9"/>
        <v/>
      </c>
    </row>
    <row r="39" spans="2:10" s="80" customFormat="1" ht="36" x14ac:dyDescent="0.3">
      <c r="B39" s="45" t="s">
        <v>18</v>
      </c>
      <c r="C39" s="137" t="str">
        <f t="shared" si="0"/>
        <v>Talpiot Academic College</v>
      </c>
      <c r="D39" s="137" t="str">
        <f t="shared" si="1"/>
        <v>Israel</v>
      </c>
      <c r="E39" s="95" t="s">
        <v>418</v>
      </c>
      <c r="F39" s="44" t="s">
        <v>414</v>
      </c>
      <c r="G39" s="44" t="s">
        <v>472</v>
      </c>
      <c r="H39" s="82">
        <v>3500</v>
      </c>
      <c r="I39" s="83">
        <f t="shared" si="2"/>
        <v>3500</v>
      </c>
      <c r="J39" s="79" t="str">
        <f t="shared" si="3"/>
        <v/>
      </c>
    </row>
    <row r="40" spans="2:10" s="80" customFormat="1" x14ac:dyDescent="0.3">
      <c r="B40" s="45" t="s">
        <v>18</v>
      </c>
      <c r="C40" s="137" t="str">
        <f t="shared" ref="C40:C41" si="12">IFERROR(IF(VLOOKUP(B40,PartnerN°Ref,2,FALSE)=0,"",VLOOKUP(B40,PartnerN°Ref,2,FALSE)),"")</f>
        <v>Talpiot Academic College</v>
      </c>
      <c r="D40" s="137" t="str">
        <f t="shared" ref="D40:D41" si="13">IFERROR(IF(OR(VLOOKUP(B40,PartnerN°Ref,4,FALSE)="Country not found",VLOOKUP(B40,PartnerN°Ref,3,FALSE)=0),"",VLOOKUP(B40,PartnerN°Ref,3,FALSE)),"")</f>
        <v>Israel</v>
      </c>
      <c r="E40" s="95" t="s">
        <v>473</v>
      </c>
      <c r="F40" s="44" t="s">
        <v>414</v>
      </c>
      <c r="G40" s="44" t="s">
        <v>474</v>
      </c>
      <c r="H40" s="82">
        <v>1300</v>
      </c>
      <c r="I40" s="83">
        <f t="shared" ref="I40:I41" si="14">IF(J40="Error",0,ROUND(H40,2))</f>
        <v>1300</v>
      </c>
      <c r="J40" s="79" t="str">
        <f t="shared" ref="J40:J41" si="15">IF(OR(COUNTIF(PartnerN°,B40)=0,C40="",COUNTIF(CountryALL,D40)=0,E40="",F40="",G40="",ISNUMBER(H40)=FALSE,IF(ISNUMBER(H40)=TRUE,H40=INT(H40*100)/100=FALSE)),"Error","")</f>
        <v/>
      </c>
    </row>
    <row r="41" spans="2:10" s="80" customFormat="1" x14ac:dyDescent="0.3">
      <c r="B41" s="45" t="s">
        <v>18</v>
      </c>
      <c r="C41" s="137" t="str">
        <f t="shared" si="12"/>
        <v>Talpiot Academic College</v>
      </c>
      <c r="D41" s="137" t="str">
        <f t="shared" si="13"/>
        <v>Israel</v>
      </c>
      <c r="E41" s="95" t="s">
        <v>431</v>
      </c>
      <c r="F41" s="44" t="s">
        <v>414</v>
      </c>
      <c r="G41" s="44" t="s">
        <v>475</v>
      </c>
      <c r="H41" s="82">
        <v>1200</v>
      </c>
      <c r="I41" s="83">
        <f t="shared" si="14"/>
        <v>1200</v>
      </c>
      <c r="J41" s="79" t="str">
        <f t="shared" si="15"/>
        <v/>
      </c>
    </row>
    <row r="42" spans="2:10" s="80" customFormat="1" x14ac:dyDescent="0.3">
      <c r="B42" s="45" t="s">
        <v>19</v>
      </c>
      <c r="C42" s="137" t="str">
        <f t="shared" ref="C42:C44" si="16">IFERROR(IF(VLOOKUP(B42,PartnerN°Ref,2,FALSE)=0,"",VLOOKUP(B42,PartnerN°Ref,2,FALSE)),"")</f>
        <v>The University of Salzburg</v>
      </c>
      <c r="D42" s="137" t="str">
        <f t="shared" ref="D42:D44" si="17">IFERROR(IF(OR(VLOOKUP(B42,PartnerN°Ref,4,FALSE)="Country not found",VLOOKUP(B42,PartnerN°Ref,3,FALSE)=0),"",VLOOKUP(B42,PartnerN°Ref,3,FALSE)),"")</f>
        <v>Austria</v>
      </c>
      <c r="E42" s="95" t="s">
        <v>444</v>
      </c>
      <c r="F42" s="44" t="s">
        <v>458</v>
      </c>
      <c r="G42" s="44" t="s">
        <v>445</v>
      </c>
      <c r="H42" s="82">
        <v>1000</v>
      </c>
      <c r="I42" s="83">
        <f t="shared" ref="I42:I44" si="18">IF(J42="Error",0,ROUND(H42,2))</f>
        <v>1000</v>
      </c>
      <c r="J42" s="79" t="str">
        <f t="shared" ref="J42:J44" si="19">IF(OR(COUNTIF(PartnerN°,B42)=0,C42="",COUNTIF(CountryALL,D42)=0,E42="",F42="",G42="",ISNUMBER(H42)=FALSE,IF(ISNUMBER(H42)=TRUE,H42=INT(H42*100)/100=FALSE)),"Error","")</f>
        <v/>
      </c>
    </row>
    <row r="43" spans="2:10" s="80" customFormat="1" ht="36" x14ac:dyDescent="0.3">
      <c r="B43" s="45" t="s">
        <v>19</v>
      </c>
      <c r="C43" s="137" t="str">
        <f t="shared" si="16"/>
        <v>The University of Salzburg</v>
      </c>
      <c r="D43" s="137" t="str">
        <f t="shared" si="17"/>
        <v>Austria</v>
      </c>
      <c r="E43" s="95" t="s">
        <v>446</v>
      </c>
      <c r="F43" s="44" t="s">
        <v>450</v>
      </c>
      <c r="G43" s="44" t="s">
        <v>449</v>
      </c>
      <c r="H43" s="82">
        <v>10000</v>
      </c>
      <c r="I43" s="83">
        <f t="shared" si="18"/>
        <v>10000</v>
      </c>
      <c r="J43" s="79" t="str">
        <f t="shared" si="19"/>
        <v/>
      </c>
    </row>
    <row r="44" spans="2:10" s="80" customFormat="1" x14ac:dyDescent="0.3">
      <c r="B44" s="45" t="s">
        <v>19</v>
      </c>
      <c r="C44" s="137" t="str">
        <f t="shared" si="16"/>
        <v>The University of Salzburg</v>
      </c>
      <c r="D44" s="137" t="str">
        <f t="shared" si="17"/>
        <v>Austria</v>
      </c>
      <c r="E44" s="95" t="s">
        <v>447</v>
      </c>
      <c r="F44" s="44" t="s">
        <v>458</v>
      </c>
      <c r="G44" s="44" t="s">
        <v>448</v>
      </c>
      <c r="H44" s="82">
        <v>1000</v>
      </c>
      <c r="I44" s="83">
        <f t="shared" si="18"/>
        <v>1000</v>
      </c>
      <c r="J44" s="79" t="str">
        <f t="shared" si="19"/>
        <v/>
      </c>
    </row>
    <row r="46" spans="2:10" x14ac:dyDescent="0.35">
      <c r="B46" s="96" t="s">
        <v>240</v>
      </c>
    </row>
    <row r="47" spans="2:10" x14ac:dyDescent="0.35">
      <c r="B47" s="96" t="s">
        <v>241</v>
      </c>
    </row>
    <row r="48" spans="2:10" x14ac:dyDescent="0.35">
      <c r="B48" s="96" t="s">
        <v>242</v>
      </c>
    </row>
  </sheetData>
  <sheetProtection password="E359" sheet="1" objects="1" scenarios="1" selectLockedCells="1"/>
  <dataConsolidate/>
  <mergeCells count="12">
    <mergeCell ref="J11:J12"/>
    <mergeCell ref="B2:J2"/>
    <mergeCell ref="I11:I12"/>
    <mergeCell ref="F11:F12"/>
    <mergeCell ref="C4:C9"/>
    <mergeCell ref="B4:B9"/>
    <mergeCell ref="B11:B12"/>
    <mergeCell ref="C11:C12"/>
    <mergeCell ref="D11:D12"/>
    <mergeCell ref="G11:G12"/>
    <mergeCell ref="H11:H12"/>
    <mergeCell ref="E11:E12"/>
  </mergeCells>
  <conditionalFormatting sqref="J13:J14">
    <cfRule type="containsText" dxfId="79" priority="167" operator="containsText" text="Error">
      <formula>NOT(ISERROR(SEARCH("Error",J13)))</formula>
    </cfRule>
  </conditionalFormatting>
  <conditionalFormatting sqref="C13:D14">
    <cfRule type="containsBlanks" dxfId="78" priority="160">
      <formula>LEN(TRIM(C13))=0</formula>
    </cfRule>
  </conditionalFormatting>
  <conditionalFormatting sqref="J15">
    <cfRule type="containsText" dxfId="77" priority="62" operator="containsText" text="Error">
      <formula>NOT(ISERROR(SEARCH("Error",J15)))</formula>
    </cfRule>
  </conditionalFormatting>
  <conditionalFormatting sqref="C15:D15">
    <cfRule type="containsBlanks" dxfId="76" priority="61">
      <formula>LEN(TRIM(C15))=0</formula>
    </cfRule>
  </conditionalFormatting>
  <conditionalFormatting sqref="J16">
    <cfRule type="containsText" dxfId="75" priority="60" operator="containsText" text="Error">
      <formula>NOT(ISERROR(SEARCH("Error",J16)))</formula>
    </cfRule>
  </conditionalFormatting>
  <conditionalFormatting sqref="C16:D16">
    <cfRule type="containsBlanks" dxfId="74" priority="59">
      <formula>LEN(TRIM(C16))=0</formula>
    </cfRule>
  </conditionalFormatting>
  <conditionalFormatting sqref="J17">
    <cfRule type="containsText" dxfId="73" priority="58" operator="containsText" text="Error">
      <formula>NOT(ISERROR(SEARCH("Error",J17)))</formula>
    </cfRule>
  </conditionalFormatting>
  <conditionalFormatting sqref="C17:D17">
    <cfRule type="containsBlanks" dxfId="72" priority="57">
      <formula>LEN(TRIM(C17))=0</formula>
    </cfRule>
  </conditionalFormatting>
  <conditionalFormatting sqref="J18">
    <cfRule type="containsText" dxfId="71" priority="56" operator="containsText" text="Error">
      <formula>NOT(ISERROR(SEARCH("Error",J18)))</formula>
    </cfRule>
  </conditionalFormatting>
  <conditionalFormatting sqref="C18:D18">
    <cfRule type="containsBlanks" dxfId="70" priority="55">
      <formula>LEN(TRIM(C18))=0</formula>
    </cfRule>
  </conditionalFormatting>
  <conditionalFormatting sqref="J19">
    <cfRule type="containsText" dxfId="69" priority="54" operator="containsText" text="Error">
      <formula>NOT(ISERROR(SEARCH("Error",J19)))</formula>
    </cfRule>
  </conditionalFormatting>
  <conditionalFormatting sqref="C19:D19">
    <cfRule type="containsBlanks" dxfId="68" priority="53">
      <formula>LEN(TRIM(C19))=0</formula>
    </cfRule>
  </conditionalFormatting>
  <conditionalFormatting sqref="J20">
    <cfRule type="containsText" dxfId="67" priority="50" operator="containsText" text="Error">
      <formula>NOT(ISERROR(SEARCH("Error",J20)))</formula>
    </cfRule>
  </conditionalFormatting>
  <conditionalFormatting sqref="C20:D20">
    <cfRule type="containsBlanks" dxfId="66" priority="49">
      <formula>LEN(TRIM(C20))=0</formula>
    </cfRule>
  </conditionalFormatting>
  <conditionalFormatting sqref="J21">
    <cfRule type="containsText" dxfId="65" priority="48" operator="containsText" text="Error">
      <formula>NOT(ISERROR(SEARCH("Error",J21)))</formula>
    </cfRule>
  </conditionalFormatting>
  <conditionalFormatting sqref="C21:D21">
    <cfRule type="containsBlanks" dxfId="64" priority="47">
      <formula>LEN(TRIM(C21))=0</formula>
    </cfRule>
  </conditionalFormatting>
  <conditionalFormatting sqref="J22">
    <cfRule type="containsText" dxfId="63" priority="46" operator="containsText" text="Error">
      <formula>NOT(ISERROR(SEARCH("Error",J22)))</formula>
    </cfRule>
  </conditionalFormatting>
  <conditionalFormatting sqref="C22:D22">
    <cfRule type="containsBlanks" dxfId="62" priority="45">
      <formula>LEN(TRIM(C22))=0</formula>
    </cfRule>
  </conditionalFormatting>
  <conditionalFormatting sqref="J23">
    <cfRule type="containsText" dxfId="61" priority="44" operator="containsText" text="Error">
      <formula>NOT(ISERROR(SEARCH("Error",J23)))</formula>
    </cfRule>
  </conditionalFormatting>
  <conditionalFormatting sqref="C23:D23">
    <cfRule type="containsBlanks" dxfId="60" priority="43">
      <formula>LEN(TRIM(C23))=0</formula>
    </cfRule>
  </conditionalFormatting>
  <conditionalFormatting sqref="J24">
    <cfRule type="containsText" dxfId="59" priority="42" operator="containsText" text="Error">
      <formula>NOT(ISERROR(SEARCH("Error",J24)))</formula>
    </cfRule>
  </conditionalFormatting>
  <conditionalFormatting sqref="C24:D24">
    <cfRule type="containsBlanks" dxfId="58" priority="41">
      <formula>LEN(TRIM(C24))=0</formula>
    </cfRule>
  </conditionalFormatting>
  <conditionalFormatting sqref="J25">
    <cfRule type="containsText" dxfId="57" priority="40" operator="containsText" text="Error">
      <formula>NOT(ISERROR(SEARCH("Error",J25)))</formula>
    </cfRule>
  </conditionalFormatting>
  <conditionalFormatting sqref="C25:D25">
    <cfRule type="containsBlanks" dxfId="56" priority="39">
      <formula>LEN(TRIM(C25))=0</formula>
    </cfRule>
  </conditionalFormatting>
  <conditionalFormatting sqref="J26">
    <cfRule type="containsText" dxfId="55" priority="38" operator="containsText" text="Error">
      <formula>NOT(ISERROR(SEARCH("Error",J26)))</formula>
    </cfRule>
  </conditionalFormatting>
  <conditionalFormatting sqref="C26:D26">
    <cfRule type="containsBlanks" dxfId="54" priority="37">
      <formula>LEN(TRIM(C26))=0</formula>
    </cfRule>
  </conditionalFormatting>
  <conditionalFormatting sqref="J27">
    <cfRule type="containsText" dxfId="53" priority="36" operator="containsText" text="Error">
      <formula>NOT(ISERROR(SEARCH("Error",J27)))</formula>
    </cfRule>
  </conditionalFormatting>
  <conditionalFormatting sqref="C27:D27">
    <cfRule type="containsBlanks" dxfId="52" priority="35">
      <formula>LEN(TRIM(C27))=0</formula>
    </cfRule>
  </conditionalFormatting>
  <conditionalFormatting sqref="J28">
    <cfRule type="containsText" dxfId="51" priority="34" operator="containsText" text="Error">
      <formula>NOT(ISERROR(SEARCH("Error",J28)))</formula>
    </cfRule>
  </conditionalFormatting>
  <conditionalFormatting sqref="C28:D28">
    <cfRule type="containsBlanks" dxfId="50" priority="33">
      <formula>LEN(TRIM(C28))=0</formula>
    </cfRule>
  </conditionalFormatting>
  <conditionalFormatting sqref="J29">
    <cfRule type="containsText" dxfId="49" priority="32" operator="containsText" text="Error">
      <formula>NOT(ISERROR(SEARCH("Error",J29)))</formula>
    </cfRule>
  </conditionalFormatting>
  <conditionalFormatting sqref="C29:D29">
    <cfRule type="containsBlanks" dxfId="48" priority="31">
      <formula>LEN(TRIM(C29))=0</formula>
    </cfRule>
  </conditionalFormatting>
  <conditionalFormatting sqref="J30">
    <cfRule type="containsText" dxfId="47" priority="30" operator="containsText" text="Error">
      <formula>NOT(ISERROR(SEARCH("Error",J30)))</formula>
    </cfRule>
  </conditionalFormatting>
  <conditionalFormatting sqref="C30:D30">
    <cfRule type="containsBlanks" dxfId="46" priority="29">
      <formula>LEN(TRIM(C30))=0</formula>
    </cfRule>
  </conditionalFormatting>
  <conditionalFormatting sqref="J32">
    <cfRule type="containsText" dxfId="45" priority="28" operator="containsText" text="Error">
      <formula>NOT(ISERROR(SEARCH("Error",J32)))</formula>
    </cfRule>
  </conditionalFormatting>
  <conditionalFormatting sqref="C32:D32">
    <cfRule type="containsBlanks" dxfId="44" priority="27">
      <formula>LEN(TRIM(C32))=0</formula>
    </cfRule>
  </conditionalFormatting>
  <conditionalFormatting sqref="J33">
    <cfRule type="containsText" dxfId="43" priority="26" operator="containsText" text="Error">
      <formula>NOT(ISERROR(SEARCH("Error",J33)))</formula>
    </cfRule>
  </conditionalFormatting>
  <conditionalFormatting sqref="C33:D33">
    <cfRule type="containsBlanks" dxfId="42" priority="25">
      <formula>LEN(TRIM(C33))=0</formula>
    </cfRule>
  </conditionalFormatting>
  <conditionalFormatting sqref="J34">
    <cfRule type="containsText" dxfId="41" priority="24" operator="containsText" text="Error">
      <formula>NOT(ISERROR(SEARCH("Error",J34)))</formula>
    </cfRule>
  </conditionalFormatting>
  <conditionalFormatting sqref="C34:D34">
    <cfRule type="containsBlanks" dxfId="40" priority="23">
      <formula>LEN(TRIM(C34))=0</formula>
    </cfRule>
  </conditionalFormatting>
  <conditionalFormatting sqref="J35">
    <cfRule type="containsText" dxfId="39" priority="22" operator="containsText" text="Error">
      <formula>NOT(ISERROR(SEARCH("Error",J35)))</formula>
    </cfRule>
  </conditionalFormatting>
  <conditionalFormatting sqref="C35:D35">
    <cfRule type="containsBlanks" dxfId="38" priority="21">
      <formula>LEN(TRIM(C35))=0</formula>
    </cfRule>
  </conditionalFormatting>
  <conditionalFormatting sqref="J39">
    <cfRule type="containsText" dxfId="37" priority="20" operator="containsText" text="Error">
      <formula>NOT(ISERROR(SEARCH("Error",J39)))</formula>
    </cfRule>
  </conditionalFormatting>
  <conditionalFormatting sqref="C39:D39">
    <cfRule type="containsBlanks" dxfId="36" priority="19">
      <formula>LEN(TRIM(C39))=0</formula>
    </cfRule>
  </conditionalFormatting>
  <conditionalFormatting sqref="J36">
    <cfRule type="containsText" dxfId="35" priority="18" operator="containsText" text="Error">
      <formula>NOT(ISERROR(SEARCH("Error",J36)))</formula>
    </cfRule>
  </conditionalFormatting>
  <conditionalFormatting sqref="C36:D36">
    <cfRule type="containsBlanks" dxfId="34" priority="17">
      <formula>LEN(TRIM(C36))=0</formula>
    </cfRule>
  </conditionalFormatting>
  <conditionalFormatting sqref="J37">
    <cfRule type="containsText" dxfId="33" priority="16" operator="containsText" text="Error">
      <formula>NOT(ISERROR(SEARCH("Error",J37)))</formula>
    </cfRule>
  </conditionalFormatting>
  <conditionalFormatting sqref="C37:D37">
    <cfRule type="containsBlanks" dxfId="32" priority="15">
      <formula>LEN(TRIM(C37))=0</formula>
    </cfRule>
  </conditionalFormatting>
  <conditionalFormatting sqref="J42">
    <cfRule type="containsText" dxfId="31" priority="14" operator="containsText" text="Error">
      <formula>NOT(ISERROR(SEARCH("Error",J42)))</formula>
    </cfRule>
  </conditionalFormatting>
  <conditionalFormatting sqref="C42:D42">
    <cfRule type="containsBlanks" dxfId="30" priority="13">
      <formula>LEN(TRIM(C42))=0</formula>
    </cfRule>
  </conditionalFormatting>
  <conditionalFormatting sqref="J43">
    <cfRule type="containsText" dxfId="29" priority="12" operator="containsText" text="Error">
      <formula>NOT(ISERROR(SEARCH("Error",J43)))</formula>
    </cfRule>
  </conditionalFormatting>
  <conditionalFormatting sqref="C43:D43">
    <cfRule type="containsBlanks" dxfId="28" priority="11">
      <formula>LEN(TRIM(C43))=0</formula>
    </cfRule>
  </conditionalFormatting>
  <conditionalFormatting sqref="J44">
    <cfRule type="containsText" dxfId="27" priority="10" operator="containsText" text="Error">
      <formula>NOT(ISERROR(SEARCH("Error",J44)))</formula>
    </cfRule>
  </conditionalFormatting>
  <conditionalFormatting sqref="C44:D44">
    <cfRule type="containsBlanks" dxfId="26" priority="9">
      <formula>LEN(TRIM(C44))=0</formula>
    </cfRule>
  </conditionalFormatting>
  <conditionalFormatting sqref="J31">
    <cfRule type="containsText" dxfId="25" priority="8" operator="containsText" text="Error">
      <formula>NOT(ISERROR(SEARCH("Error",J31)))</formula>
    </cfRule>
  </conditionalFormatting>
  <conditionalFormatting sqref="C31:D31">
    <cfRule type="containsBlanks" dxfId="24" priority="7">
      <formula>LEN(TRIM(C31))=0</formula>
    </cfRule>
  </conditionalFormatting>
  <conditionalFormatting sqref="J40">
    <cfRule type="containsText" dxfId="23" priority="6" operator="containsText" text="Error">
      <formula>NOT(ISERROR(SEARCH("Error",J40)))</formula>
    </cfRule>
  </conditionalFormatting>
  <conditionalFormatting sqref="C40:D40">
    <cfRule type="containsBlanks" dxfId="22" priority="5">
      <formula>LEN(TRIM(C40))=0</formula>
    </cfRule>
  </conditionalFormatting>
  <conditionalFormatting sqref="J41">
    <cfRule type="containsText" dxfId="21" priority="4" operator="containsText" text="Error">
      <formula>NOT(ISERROR(SEARCH("Error",J41)))</formula>
    </cfRule>
  </conditionalFormatting>
  <conditionalFormatting sqref="C41:D41">
    <cfRule type="containsBlanks" dxfId="20" priority="3">
      <formula>LEN(TRIM(C41))=0</formula>
    </cfRule>
  </conditionalFormatting>
  <conditionalFormatting sqref="J38">
    <cfRule type="containsText" dxfId="19" priority="2" operator="containsText" text="Error">
      <formula>NOT(ISERROR(SEARCH("Error",J38)))</formula>
    </cfRule>
  </conditionalFormatting>
  <conditionalFormatting sqref="C38:D38">
    <cfRule type="containsBlanks" dxfId="18" priority="1">
      <formula>LEN(TRIM(C38))=0</formula>
    </cfRule>
  </conditionalFormatting>
  <dataValidations count="5">
    <dataValidation allowBlank="1" showInputMessage="1" showErrorMessage="1" error="Please encode Item" prompt="Please encode Item" sqref="E13:E44"/>
    <dataValidation type="custom" allowBlank="1" showInputMessage="1" showErrorMessage="1" error="Format error (2 decimals only)" prompt="Please encode amount (2 decimals only)" sqref="H13:H44">
      <formula1>H13=INT(H13*100)/100</formula1>
    </dataValidation>
    <dataValidation allowBlank="1" showInputMessage="1" showErrorMessage="1" error="Please encode Justification" prompt="Please encode Justification" sqref="G13:G44"/>
    <dataValidation allowBlank="1" showInputMessage="1" showErrorMessage="1" error="Please encode Source of Co-financing" prompt="Please encode Source of Co-financing" sqref="F13:F44"/>
    <dataValidation type="list" allowBlank="1" showInputMessage="1" showErrorMessage="1" error="Click arrow to select Partner n°" prompt="Click arrow to select Partner n°" sqref="B13:B44">
      <formula1>PartnerN°</formula1>
    </dataValidation>
  </dataValidations>
  <printOptions horizontalCentered="1"/>
  <pageMargins left="0.23622047244094491" right="0.23622047244094491" top="0.39370078740157483" bottom="0.94488188976377963" header="0.31496062992125984" footer="0.31496062992125984"/>
  <pageSetup paperSize="9" scale="44"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55" r:id="rId4" name="Button 1">
              <controlPr defaultSize="0" print="0" autoFill="0" autoPict="0" macro="[0]!AddRow">
                <anchor moveWithCells="1" sizeWithCells="1">
                  <from>
                    <xdr:col>1</xdr:col>
                    <xdr:colOff>83820</xdr:colOff>
                    <xdr:row>1</xdr:row>
                    <xdr:rowOff>76200</xdr:rowOff>
                  </from>
                  <to>
                    <xdr:col>1</xdr:col>
                    <xdr:colOff>1668780</xdr:colOff>
                    <xdr:row>1</xdr:row>
                    <xdr:rowOff>441960</xdr:rowOff>
                  </to>
                </anchor>
              </controlPr>
            </control>
          </mc:Choice>
        </mc:AlternateContent>
        <mc:AlternateContent xmlns:mc="http://schemas.openxmlformats.org/markup-compatibility/2006">
          <mc:Choice Requires="x14">
            <control shapeId="35856" r:id="rId5" name="Button 2">
              <controlPr defaultSize="0" print="0" autoFill="0" autoPict="0" macro="[0]!DeleteRow">
                <anchor moveWithCells="1" sizeWithCells="1">
                  <from>
                    <xdr:col>1</xdr:col>
                    <xdr:colOff>1744980</xdr:colOff>
                    <xdr:row>1</xdr:row>
                    <xdr:rowOff>76200</xdr:rowOff>
                  </from>
                  <to>
                    <xdr:col>2</xdr:col>
                    <xdr:colOff>1402080</xdr:colOff>
                    <xdr:row>1</xdr:row>
                    <xdr:rowOff>441960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pageSetUpPr fitToPage="1"/>
  </sheetPr>
  <dimension ref="B1:I81"/>
  <sheetViews>
    <sheetView showGridLines="0" zoomScale="60" zoomScaleNormal="60" zoomScaleSheetLayoutView="85" workbookViewId="0">
      <selection activeCell="B2" sqref="B2:I2"/>
    </sheetView>
  </sheetViews>
  <sheetFormatPr defaultColWidth="9.109375" defaultRowHeight="18" x14ac:dyDescent="0.35"/>
  <cols>
    <col min="1" max="1" width="1.6640625" style="16" customWidth="1"/>
    <col min="2" max="2" width="42.6640625" style="16" customWidth="1"/>
    <col min="3" max="9" width="22.6640625" style="16" customWidth="1"/>
    <col min="10" max="10" width="1.44140625" style="16" customWidth="1"/>
    <col min="11" max="16384" width="9.109375" style="16"/>
  </cols>
  <sheetData>
    <row r="1" spans="2:9" ht="8.1" customHeight="1" x14ac:dyDescent="0.35"/>
    <row r="2" spans="2:9" s="46" customFormat="1" ht="30" customHeight="1" x14ac:dyDescent="0.35">
      <c r="B2" s="158" t="s">
        <v>184</v>
      </c>
      <c r="C2" s="158"/>
      <c r="D2" s="158"/>
      <c r="E2" s="158"/>
      <c r="F2" s="158"/>
      <c r="G2" s="158"/>
      <c r="H2" s="158"/>
      <c r="I2" s="158"/>
    </row>
    <row r="3" spans="2:9" s="46" customFormat="1" ht="8.1" customHeight="1" x14ac:dyDescent="0.35">
      <c r="B3" s="47"/>
      <c r="C3" s="48"/>
      <c r="D3" s="48"/>
      <c r="E3" s="48"/>
      <c r="F3" s="49"/>
      <c r="G3" s="49"/>
      <c r="H3" s="49"/>
      <c r="I3" s="50"/>
    </row>
    <row r="4" spans="2:9" s="51" customFormat="1" ht="42" customHeight="1" x14ac:dyDescent="0.35">
      <c r="B4" s="15" t="s">
        <v>168</v>
      </c>
      <c r="C4" s="36" t="s">
        <v>200</v>
      </c>
      <c r="D4" s="36" t="s">
        <v>201</v>
      </c>
      <c r="E4" s="36" t="s">
        <v>212</v>
      </c>
      <c r="F4" s="36" t="s">
        <v>213</v>
      </c>
      <c r="G4" s="36" t="s">
        <v>214</v>
      </c>
      <c r="H4" s="37" t="s">
        <v>215</v>
      </c>
      <c r="I4" s="36" t="s">
        <v>170</v>
      </c>
    </row>
    <row r="5" spans="2:9" x14ac:dyDescent="0.35">
      <c r="B5" s="52" t="str">
        <f>Rates!P13</f>
        <v>Preparation</v>
      </c>
      <c r="C5" s="53">
        <f>SUMIF('1. Staff costs'!B:B,B5,'1. Staff costs'!S:S)</f>
        <v>72477.5</v>
      </c>
      <c r="D5" s="53">
        <f>SUMIF('2-3. Travel Costs&amp;Costs of Stay'!B:B,B5,'2-3. Travel Costs&amp;Costs of Stay'!L:L)</f>
        <v>0</v>
      </c>
      <c r="E5" s="54">
        <f>SUMIF('2-3. Travel Costs&amp;Costs of Stay'!B:B,B5,'2-3. Travel Costs&amp;Costs of Stay'!M:M)</f>
        <v>7200</v>
      </c>
      <c r="F5" s="54">
        <f>SUMIF('4. Equipment Costs'!B:B,B5,'4. Equipment Costs'!H:H)</f>
        <v>0</v>
      </c>
      <c r="G5" s="54">
        <f>SUMIF('5. Subcontracting Costs'!B:B,B5,'5. Subcontracting Costs'!H:H)</f>
        <v>25200</v>
      </c>
      <c r="H5" s="210"/>
      <c r="I5" s="55">
        <f>SUM(C5:G5)</f>
        <v>104877.5</v>
      </c>
    </row>
    <row r="6" spans="2:9" ht="16.5" customHeight="1" x14ac:dyDescent="0.35">
      <c r="B6" s="52" t="str">
        <f>Rates!P14</f>
        <v>Development</v>
      </c>
      <c r="C6" s="53">
        <f>SUMIF('1. Staff costs'!B:B,B6,'1. Staff costs'!S:S)</f>
        <v>182122</v>
      </c>
      <c r="D6" s="53">
        <f>SUMIF('2-3. Travel Costs&amp;Costs of Stay'!B:B,B6,'2-3. Travel Costs&amp;Costs of Stay'!L:L)</f>
        <v>93045</v>
      </c>
      <c r="E6" s="54">
        <f>SUMIF('2-3. Travel Costs&amp;Costs of Stay'!B:B,B6,'2-3. Travel Costs&amp;Costs of Stay'!M:M)</f>
        <v>212660</v>
      </c>
      <c r="F6" s="54">
        <f>SUMIF('4. Equipment Costs'!B:B,B6,'4. Equipment Costs'!H:H)</f>
        <v>48510</v>
      </c>
      <c r="G6" s="54">
        <f>SUMIF('5. Subcontracting Costs'!B:B,B6,'5. Subcontracting Costs'!H:H)</f>
        <v>0</v>
      </c>
      <c r="H6" s="211"/>
      <c r="I6" s="55">
        <f t="shared" ref="I6:I9" si="0">SUM(C6:G6)</f>
        <v>536337</v>
      </c>
    </row>
    <row r="7" spans="2:9" ht="16.5" customHeight="1" x14ac:dyDescent="0.35">
      <c r="B7" s="52" t="str">
        <f>Rates!P15</f>
        <v>Quality Plan</v>
      </c>
      <c r="C7" s="53">
        <f>SUMIF('1. Staff costs'!B:B,B7,'1. Staff costs'!S:S)</f>
        <v>33719</v>
      </c>
      <c r="D7" s="53">
        <f>SUMIF('2-3. Travel Costs&amp;Costs of Stay'!B:B,B7,'2-3. Travel Costs&amp;Costs of Stay'!L:L)</f>
        <v>7860</v>
      </c>
      <c r="E7" s="54">
        <f>SUMIF('2-3. Travel Costs&amp;Costs of Stay'!B:B,B7,'2-3. Travel Costs&amp;Costs of Stay'!M:M)</f>
        <v>4180</v>
      </c>
      <c r="F7" s="54">
        <f>SUMIF('4. Equipment Costs'!B:B,B7,'4. Equipment Costs'!H:H)</f>
        <v>0</v>
      </c>
      <c r="G7" s="54">
        <f>SUMIF('5. Subcontracting Costs'!B:B,B7,'5. Subcontracting Costs'!H:H)</f>
        <v>8000</v>
      </c>
      <c r="H7" s="211"/>
      <c r="I7" s="55">
        <f t="shared" si="0"/>
        <v>53759</v>
      </c>
    </row>
    <row r="8" spans="2:9" ht="16.5" customHeight="1" x14ac:dyDescent="0.35">
      <c r="B8" s="52" t="str">
        <f>Rates!P16</f>
        <v>Dissemination &amp; Exploitation</v>
      </c>
      <c r="C8" s="53">
        <f>SUMIF('1. Staff costs'!B:B,B8,'1. Staff costs'!S:S)</f>
        <v>51953.5</v>
      </c>
      <c r="D8" s="53">
        <f>SUMIF('2-3. Travel Costs&amp;Costs of Stay'!B:B,B8,'2-3. Travel Costs&amp;Costs of Stay'!L:L)</f>
        <v>41580</v>
      </c>
      <c r="E8" s="54">
        <f>SUMIF('2-3. Travel Costs&amp;Costs of Stay'!B:B,B8,'2-3. Travel Costs&amp;Costs of Stay'!M:M)</f>
        <v>82560</v>
      </c>
      <c r="F8" s="54">
        <f>SUMIF('4. Equipment Costs'!B:B,B8,'4. Equipment Costs'!H:H)</f>
        <v>0</v>
      </c>
      <c r="G8" s="54">
        <f>SUMIF('5. Subcontracting Costs'!B:B,B8,'5. Subcontracting Costs'!H:H)</f>
        <v>14400</v>
      </c>
      <c r="H8" s="211"/>
      <c r="I8" s="55">
        <f t="shared" si="0"/>
        <v>190493.5</v>
      </c>
    </row>
    <row r="9" spans="2:9" ht="16.5" customHeight="1" x14ac:dyDescent="0.35">
      <c r="B9" s="52" t="str">
        <f>Rates!P17</f>
        <v>Management</v>
      </c>
      <c r="C9" s="53">
        <f>SUMIF('1. Staff costs'!B:B,B9,'1. Staff costs'!S:S)</f>
        <v>54492</v>
      </c>
      <c r="D9" s="53">
        <f>SUMIF('2-3. Travel Costs&amp;Costs of Stay'!B:B,B9,'2-3. Travel Costs&amp;Costs of Stay'!L:L)</f>
        <v>0</v>
      </c>
      <c r="E9" s="54">
        <f>SUMIF('2-3. Travel Costs&amp;Costs of Stay'!B:B,B9,'2-3. Travel Costs&amp;Costs of Stay'!M:M)</f>
        <v>32400</v>
      </c>
      <c r="F9" s="54">
        <f>SUMIF('4. Equipment Costs'!B:B,B9,'4. Equipment Costs'!H:H)</f>
        <v>0</v>
      </c>
      <c r="G9" s="54">
        <f>SUMIF('5. Subcontracting Costs'!B:B,B9,'5. Subcontracting Costs'!H:H)</f>
        <v>15000</v>
      </c>
      <c r="H9" s="212"/>
      <c r="I9" s="55">
        <f t="shared" si="0"/>
        <v>101892</v>
      </c>
    </row>
    <row r="10" spans="2:9" x14ac:dyDescent="0.35">
      <c r="B10" s="56" t="s">
        <v>2</v>
      </c>
      <c r="C10" s="55">
        <f t="shared" ref="C10:F10" si="1">SUM(C5:C9)</f>
        <v>394764</v>
      </c>
      <c r="D10" s="55">
        <f t="shared" si="1"/>
        <v>142485</v>
      </c>
      <c r="E10" s="55">
        <f t="shared" si="1"/>
        <v>339000</v>
      </c>
      <c r="F10" s="55">
        <f t="shared" si="1"/>
        <v>48510</v>
      </c>
      <c r="G10" s="55">
        <f>SUM(G5:G9)</f>
        <v>62600</v>
      </c>
      <c r="H10" s="57">
        <f>'B. Special Mob Strand - Student'!C8+'B. Special Mob Strand - Staff'!C8</f>
        <v>0</v>
      </c>
      <c r="I10" s="43">
        <f>SUM(C10:H10)</f>
        <v>987359</v>
      </c>
    </row>
    <row r="11" spans="2:9" ht="12" customHeight="1" x14ac:dyDescent="0.35"/>
    <row r="12" spans="2:9" ht="12" customHeight="1" x14ac:dyDescent="0.35"/>
    <row r="13" spans="2:9" ht="12" customHeight="1" x14ac:dyDescent="0.35"/>
    <row r="14" spans="2:9" ht="30" customHeight="1" x14ac:dyDescent="0.35">
      <c r="B14" s="158" t="s">
        <v>216</v>
      </c>
      <c r="C14" s="158"/>
      <c r="D14" s="158"/>
      <c r="E14" s="158"/>
      <c r="F14" s="158"/>
      <c r="G14" s="158"/>
      <c r="H14" s="158"/>
      <c r="I14" s="158"/>
    </row>
    <row r="15" spans="2:9" ht="8.1" customHeight="1" x14ac:dyDescent="0.35">
      <c r="B15" s="58"/>
      <c r="C15" s="59"/>
      <c r="D15" s="59"/>
      <c r="E15" s="59"/>
      <c r="F15" s="59"/>
      <c r="G15" s="59"/>
      <c r="H15" s="59"/>
      <c r="I15" s="60"/>
    </row>
    <row r="16" spans="2:9" ht="42" customHeight="1" x14ac:dyDescent="0.35">
      <c r="B16" s="15" t="s">
        <v>183</v>
      </c>
      <c r="C16" s="36" t="s">
        <v>200</v>
      </c>
      <c r="D16" s="36" t="s">
        <v>201</v>
      </c>
      <c r="E16" s="36" t="s">
        <v>212</v>
      </c>
      <c r="F16" s="36" t="s">
        <v>213</v>
      </c>
      <c r="G16" s="36" t="s">
        <v>214</v>
      </c>
      <c r="H16" s="37" t="s">
        <v>215</v>
      </c>
      <c r="I16" s="36" t="s">
        <v>170</v>
      </c>
    </row>
    <row r="17" spans="2:9" x14ac:dyDescent="0.35">
      <c r="B17" s="52" t="s">
        <v>208</v>
      </c>
      <c r="C17" s="53">
        <f>SUMIF(Overview!$E$33:$E$87,B17,Overview!$F$33:$F$87)</f>
        <v>138275</v>
      </c>
      <c r="D17" s="53">
        <f>SUMIF(Overview!$E$33:$E$87,B17,Overview!$G$33:$G$87)</f>
        <v>40110</v>
      </c>
      <c r="E17" s="53">
        <f>SUMIF(Overview!$E$33:$E$87,B17,Overview!$H$33:$H$87)</f>
        <v>69060</v>
      </c>
      <c r="F17" s="53">
        <f>SUMIF(Overview!$E$33:$E$87,B17,Overview!$I$33:$I$87)</f>
        <v>0</v>
      </c>
      <c r="G17" s="53">
        <f>SUMIF(Overview!$E$33:$E$87,B17,Overview!$J$33:$J$87)</f>
        <v>0</v>
      </c>
      <c r="H17" s="61">
        <f>SUMIF(Overview!$E$33:$E$87,B17,Overview!$K$33:$K$87)</f>
        <v>0</v>
      </c>
      <c r="I17" s="55">
        <f>SUM(C17:H17)</f>
        <v>247445</v>
      </c>
    </row>
    <row r="18" spans="2:9" x14ac:dyDescent="0.35">
      <c r="B18" s="52" t="s">
        <v>209</v>
      </c>
      <c r="C18" s="53">
        <f>SUMIF(Overview!$E$33:$E$87,B18,Overview!$F$33:$F$87)</f>
        <v>256489</v>
      </c>
      <c r="D18" s="53">
        <f>SUMIF(Overview!$E$33:$E$87,B18,Overview!$G$33:$G$87)</f>
        <v>102375</v>
      </c>
      <c r="E18" s="53">
        <f>SUMIF(Overview!$E$33:$E$87,B18,Overview!$H$33:$H$87)</f>
        <v>269940</v>
      </c>
      <c r="F18" s="53">
        <f>SUMIF(Overview!$E$33:$E$87,B18,Overview!$I$33:$I$87)</f>
        <v>48510</v>
      </c>
      <c r="G18" s="53">
        <f>SUMIF(Overview!$E$33:$E$87,B18,Overview!$J$33:$J$87)</f>
        <v>62600</v>
      </c>
      <c r="H18" s="61">
        <f>SUMIF(Overview!$E$33:$E$87,B18,Overview!$K$33:$K$87)</f>
        <v>0</v>
      </c>
      <c r="I18" s="55">
        <f t="shared" ref="I18" si="2">SUM(C18:H18)</f>
        <v>739914</v>
      </c>
    </row>
    <row r="19" spans="2:9" x14ac:dyDescent="0.35">
      <c r="B19" s="56" t="s">
        <v>2</v>
      </c>
      <c r="C19" s="55">
        <f t="shared" ref="C19:H19" si="3">SUM(C17:C18)</f>
        <v>394764</v>
      </c>
      <c r="D19" s="55">
        <f t="shared" si="3"/>
        <v>142485</v>
      </c>
      <c r="E19" s="55">
        <f t="shared" si="3"/>
        <v>339000</v>
      </c>
      <c r="F19" s="55">
        <f t="shared" si="3"/>
        <v>48510</v>
      </c>
      <c r="G19" s="55">
        <f t="shared" si="3"/>
        <v>62600</v>
      </c>
      <c r="H19" s="57">
        <f t="shared" si="3"/>
        <v>0</v>
      </c>
      <c r="I19" s="43">
        <f>SUM(C19:H19)</f>
        <v>987359</v>
      </c>
    </row>
    <row r="20" spans="2:9" ht="12" customHeight="1" x14ac:dyDescent="0.35"/>
    <row r="21" spans="2:9" ht="12" customHeight="1" x14ac:dyDescent="0.35"/>
    <row r="22" spans="2:9" ht="12" customHeight="1" x14ac:dyDescent="0.35"/>
    <row r="23" spans="2:9" ht="30" customHeight="1" x14ac:dyDescent="0.35">
      <c r="B23" s="158" t="s">
        <v>218</v>
      </c>
      <c r="C23" s="158"/>
      <c r="D23" s="158"/>
      <c r="E23" s="158"/>
      <c r="F23" s="158"/>
      <c r="G23" s="158"/>
      <c r="H23" s="158"/>
      <c r="I23" s="158"/>
    </row>
    <row r="24" spans="2:9" ht="8.1" customHeight="1" x14ac:dyDescent="0.35">
      <c r="B24" s="62"/>
      <c r="I24" s="63"/>
    </row>
    <row r="25" spans="2:9" ht="54" customHeight="1" x14ac:dyDescent="0.35">
      <c r="B25" s="34" t="s">
        <v>217</v>
      </c>
      <c r="C25" s="15" t="str">
        <f>Rates!P13</f>
        <v>Preparation</v>
      </c>
      <c r="D25" s="15" t="str">
        <f>Rates!P14</f>
        <v>Development</v>
      </c>
      <c r="E25" s="15" t="str">
        <f>Rates!P15</f>
        <v>Quality Plan</v>
      </c>
      <c r="F25" s="34" t="str">
        <f>Rates!P16</f>
        <v>Dissemination &amp; Exploitation</v>
      </c>
      <c r="G25" s="15" t="str">
        <f>Rates!P17</f>
        <v>Management</v>
      </c>
      <c r="H25" s="37" t="s">
        <v>215</v>
      </c>
      <c r="I25" s="36" t="s">
        <v>170</v>
      </c>
    </row>
    <row r="26" spans="2:9" x14ac:dyDescent="0.35">
      <c r="B26" s="15" t="s">
        <v>9</v>
      </c>
      <c r="C26" s="54">
        <f>SUMIFS('1. Staff costs'!S:S,'1. Staff costs'!C:C,B26,'1. Staff costs'!B:B,$C$25)+SUMIFS('2-3. Travel Costs&amp;Costs of Stay'!N:N,'2-3. Travel Costs&amp;Costs of Stay'!C:C,B26,'2-3. Travel Costs&amp;Costs of Stay'!B:B,$C$25)+SUMIFS('4. Equipment Costs'!H:H,'4. Equipment Costs'!C:C,B26,'4. Equipment Costs'!B:B,$C$25)+SUMIFS('5. Subcontracting Costs'!H:H,'5. Subcontracting Costs'!C:C,B26,'5. Subcontracting Costs'!B:B,$C$25)</f>
        <v>11174</v>
      </c>
      <c r="D26" s="54">
        <f>SUMIFS('1. Staff costs'!S:S,'1. Staff costs'!C:C,B26,'1. Staff costs'!B:B,$D$25)+SUMIFS('2-3. Travel Costs&amp;Costs of Stay'!N:N,'2-3. Travel Costs&amp;Costs of Stay'!C:C,B26,'2-3. Travel Costs&amp;Costs of Stay'!B:B,$D$25)+SUMIFS('4. Equipment Costs'!H:H,'4. Equipment Costs'!C:C,B26,'4. Equipment Costs'!B:B,$D$25)+SUMIFS('5. Subcontracting Costs'!H:H,'5. Subcontracting Costs'!C:C,B26,'5. Subcontracting Costs'!B:B,$D$25)</f>
        <v>80845</v>
      </c>
      <c r="E26" s="54">
        <f>SUMIFS('1. Staff costs'!S:S,'1. Staff costs'!C:C,B26,'1. Staff costs'!B:B,$E$25)+SUMIFS('2-3. Travel Costs&amp;Costs of Stay'!N:N,'2-3. Travel Costs&amp;Costs of Stay'!C:C,B26,'2-3. Travel Costs&amp;Costs of Stay'!B:B,$E$25)+SUMIFS('4. Equipment Costs'!H:H,'4. Equipment Costs'!C:C,B26,'4. Equipment Costs'!B:B,$E$25)+SUMIFS('5. Subcontracting Costs'!H:H,'5. Subcontracting Costs'!C:C,B26,'5. Subcontracting Costs'!B:B,$E$25)</f>
        <v>3776</v>
      </c>
      <c r="F26" s="54">
        <f>SUMIFS('1. Staff costs'!S:S,'1. Staff costs'!C:C,B26,'1. Staff costs'!B:B,$B$8)+SUMIFS('2-3. Travel Costs&amp;Costs of Stay'!N:N,'2-3. Travel Costs&amp;Costs of Stay'!C:C,B26,'2-3. Travel Costs&amp;Costs of Stay'!B:B,$B$8)+SUMIFS('4. Equipment Costs'!H:H,'4. Equipment Costs'!C:C,B26,'4. Equipment Costs'!B:B,$B$8)+SUMIFS('5. Subcontracting Costs'!H:H,'5. Subcontracting Costs'!C:C,B26,'5. Subcontracting Costs'!B:B,$B$8)</f>
        <v>21369</v>
      </c>
      <c r="G26" s="54">
        <f>SUMIFS('1. Staff costs'!S:S,'1. Staff costs'!C:C,B26,'1. Staff costs'!B:B,$G$25)+SUMIFS('2-3. Travel Costs&amp;Costs of Stay'!N:N,'2-3. Travel Costs&amp;Costs of Stay'!C:C,B26,'2-3. Travel Costs&amp;Costs of Stay'!B:B,$G$25)+SUMIFS('4. Equipment Costs'!H:H,'4. Equipment Costs'!C:C,B26,'4. Equipment Costs'!B:B,$G$25)+SUMIFS('5. Subcontracting Costs'!H:H,'5. Subcontracting Costs'!C:C,B26,'5. Subcontracting Costs'!B:B,$G$25)</f>
        <v>43997</v>
      </c>
      <c r="H26" s="61">
        <f>SUMIF('B. Special Mob Strand - Student'!B:B,B26,'B. Special Mob Strand - Student'!N:N)+SUMIF('B. Special Mob Strand - Staff'!B:B,B26,'B. Special Mob Strand - Staff'!N:N)</f>
        <v>0</v>
      </c>
      <c r="I26" s="64">
        <f>SUM(C26:H26)</f>
        <v>161161</v>
      </c>
    </row>
    <row r="27" spans="2:9" x14ac:dyDescent="0.35">
      <c r="B27" s="15" t="s">
        <v>10</v>
      </c>
      <c r="C27" s="54">
        <f>SUMIFS('1. Staff costs'!S:S,'1. Staff costs'!C:C,B27,'1. Staff costs'!B:B,$C$25)+SUMIFS('2-3. Travel Costs&amp;Costs of Stay'!N:N,'2-3. Travel Costs&amp;Costs of Stay'!C:C,B27,'2-3. Travel Costs&amp;Costs of Stay'!B:B,$C$25)+SUMIFS('4. Equipment Costs'!H:H,'4. Equipment Costs'!C:C,B27,'4. Equipment Costs'!B:B,$C$25)+SUMIFS('5. Subcontracting Costs'!H:H,'5. Subcontracting Costs'!C:C,B27,'5. Subcontracting Costs'!B:B,$C$25)</f>
        <v>18747</v>
      </c>
      <c r="D27" s="54">
        <f>SUMIFS('1. Staff costs'!S:S,'1. Staff costs'!C:C,B27,'1. Staff costs'!B:B,$D$25)+SUMIFS('2-3. Travel Costs&amp;Costs of Stay'!N:N,'2-3. Travel Costs&amp;Costs of Stay'!C:C,B27,'2-3. Travel Costs&amp;Costs of Stay'!B:B,$D$25)+SUMIFS('4. Equipment Costs'!H:H,'4. Equipment Costs'!C:C,B27,'4. Equipment Costs'!B:B,$D$25)+SUMIFS('5. Subcontracting Costs'!H:H,'5. Subcontracting Costs'!C:C,B27,'5. Subcontracting Costs'!B:B,$D$25)</f>
        <v>69730</v>
      </c>
      <c r="E27" s="54">
        <f>SUMIFS('1. Staff costs'!S:S,'1. Staff costs'!C:C,B27,'1. Staff costs'!B:B,$E$25)+SUMIFS('2-3. Travel Costs&amp;Costs of Stay'!N:N,'2-3. Travel Costs&amp;Costs of Stay'!C:C,B27,'2-3. Travel Costs&amp;Costs of Stay'!B:B,$E$25)+SUMIFS('4. Equipment Costs'!H:H,'4. Equipment Costs'!C:C,B27,'4. Equipment Costs'!B:B,$E$25)+SUMIFS('5. Subcontracting Costs'!H:H,'5. Subcontracting Costs'!C:C,B27,'5. Subcontracting Costs'!B:B,$E$25)</f>
        <v>11544</v>
      </c>
      <c r="F27" s="54">
        <f>SUMIFS('1. Staff costs'!S:S,'1. Staff costs'!C:C,B27,'1. Staff costs'!B:B,$B$8)+SUMIFS('2-3. Travel Costs&amp;Costs of Stay'!N:N,'2-3. Travel Costs&amp;Costs of Stay'!C:C,B27,'2-3. Travel Costs&amp;Costs of Stay'!B:B,$B$8)+SUMIFS('4. Equipment Costs'!H:H,'4. Equipment Costs'!C:C,B27,'4. Equipment Costs'!B:B,$B$8)+SUMIFS('5. Subcontracting Costs'!H:H,'5. Subcontracting Costs'!C:C,B27,'5. Subcontracting Costs'!B:B,$B$8)</f>
        <v>35024</v>
      </c>
      <c r="G27" s="54">
        <f>SUMIFS('1. Staff costs'!S:S,'1. Staff costs'!C:C,B27,'1. Staff costs'!B:B,$G$25)+SUMIFS('2-3. Travel Costs&amp;Costs of Stay'!N:N,'2-3. Travel Costs&amp;Costs of Stay'!C:C,B27,'2-3. Travel Costs&amp;Costs of Stay'!B:B,$G$25)+SUMIFS('4. Equipment Costs'!H:H,'4. Equipment Costs'!C:C,B27,'4. Equipment Costs'!B:B,$G$25)+SUMIFS('5. Subcontracting Costs'!H:H,'5. Subcontracting Costs'!C:C,B27,'5. Subcontracting Costs'!B:B,$G$25)</f>
        <v>16403</v>
      </c>
      <c r="H27" s="61">
        <f>SUMIF('B. Special Mob Strand - Student'!B:B,B27,'B. Special Mob Strand - Student'!N:N)+SUMIF('B. Special Mob Strand - Staff'!B:B,B27,'B. Special Mob Strand - Staff'!N:N)</f>
        <v>0</v>
      </c>
      <c r="I27" s="64">
        <f t="shared" ref="I27:I80" si="4">SUM(C27:H27)</f>
        <v>151448</v>
      </c>
    </row>
    <row r="28" spans="2:9" x14ac:dyDescent="0.35">
      <c r="B28" s="15" t="s">
        <v>11</v>
      </c>
      <c r="C28" s="54">
        <f>SUMIFS('1. Staff costs'!S:S,'1. Staff costs'!C:C,B28,'1. Staff costs'!B:B,$C$25)+SUMIFS('2-3. Travel Costs&amp;Costs of Stay'!N:N,'2-3. Travel Costs&amp;Costs of Stay'!C:C,B28,'2-3. Travel Costs&amp;Costs of Stay'!B:B,$C$25)+SUMIFS('4. Equipment Costs'!H:H,'4. Equipment Costs'!C:C,B28,'4. Equipment Costs'!B:B,$C$25)+SUMIFS('5. Subcontracting Costs'!H:H,'5. Subcontracting Costs'!C:C,B28,'5. Subcontracting Costs'!B:B,$C$25)</f>
        <v>11708</v>
      </c>
      <c r="D28" s="54">
        <f>SUMIFS('1. Staff costs'!S:S,'1. Staff costs'!C:C,B28,'1. Staff costs'!B:B,$D$25)+SUMIFS('2-3. Travel Costs&amp;Costs of Stay'!N:N,'2-3. Travel Costs&amp;Costs of Stay'!C:C,B28,'2-3. Travel Costs&amp;Costs of Stay'!B:B,$D$25)+SUMIFS('4. Equipment Costs'!H:H,'4. Equipment Costs'!C:C,B28,'4. Equipment Costs'!B:B,$D$25)+SUMIFS('5. Subcontracting Costs'!H:H,'5. Subcontracting Costs'!C:C,B28,'5. Subcontracting Costs'!B:B,$D$25)</f>
        <v>76733</v>
      </c>
      <c r="E28" s="54">
        <f>SUMIFS('1. Staff costs'!S:S,'1. Staff costs'!C:C,B28,'1. Staff costs'!B:B,$E$25)+SUMIFS('2-3. Travel Costs&amp;Costs of Stay'!N:N,'2-3. Travel Costs&amp;Costs of Stay'!C:C,B28,'2-3. Travel Costs&amp;Costs of Stay'!B:B,$E$25)+SUMIFS('4. Equipment Costs'!H:H,'4. Equipment Costs'!C:C,B28,'4. Equipment Costs'!B:B,$E$25)+SUMIFS('5. Subcontracting Costs'!H:H,'5. Subcontracting Costs'!C:C,B28,'5. Subcontracting Costs'!B:B,$E$25)</f>
        <v>4730</v>
      </c>
      <c r="F28" s="54">
        <f>SUMIFS('1. Staff costs'!S:S,'1. Staff costs'!C:C,B28,'1. Staff costs'!B:B,$B$8)+SUMIFS('2-3. Travel Costs&amp;Costs of Stay'!N:N,'2-3. Travel Costs&amp;Costs of Stay'!C:C,B28,'2-3. Travel Costs&amp;Costs of Stay'!B:B,$B$8)+SUMIFS('4. Equipment Costs'!H:H,'4. Equipment Costs'!C:C,B28,'4. Equipment Costs'!B:B,$B$8)+SUMIFS('5. Subcontracting Costs'!H:H,'5. Subcontracting Costs'!C:C,B28,'5. Subcontracting Costs'!B:B,$B$8)</f>
        <v>27962</v>
      </c>
      <c r="G28" s="54">
        <f>SUMIFS('1. Staff costs'!S:S,'1. Staff costs'!C:C,B28,'1. Staff costs'!B:B,$G$25)+SUMIFS('2-3. Travel Costs&amp;Costs of Stay'!N:N,'2-3. Travel Costs&amp;Costs of Stay'!C:C,B28,'2-3. Travel Costs&amp;Costs of Stay'!B:B,$G$25)+SUMIFS('4. Equipment Costs'!H:H,'4. Equipment Costs'!C:C,B28,'4. Equipment Costs'!B:B,$G$25)+SUMIFS('5. Subcontracting Costs'!H:H,'5. Subcontracting Costs'!C:C,B28,'5. Subcontracting Costs'!B:B,$G$25)</f>
        <v>9354</v>
      </c>
      <c r="H28" s="61">
        <f>SUMIF('B. Special Mob Strand - Student'!B:B,B28,'B. Special Mob Strand - Student'!N:N)+SUMIF('B. Special Mob Strand - Staff'!B:B,B28,'B. Special Mob Strand - Staff'!N:N)</f>
        <v>0</v>
      </c>
      <c r="I28" s="64">
        <f t="shared" si="4"/>
        <v>130487</v>
      </c>
    </row>
    <row r="29" spans="2:9" x14ac:dyDescent="0.35">
      <c r="B29" s="15" t="s">
        <v>12</v>
      </c>
      <c r="C29" s="54">
        <f>SUMIFS('1. Staff costs'!S:S,'1. Staff costs'!C:C,B29,'1. Staff costs'!B:B,$C$25)+SUMIFS('2-3. Travel Costs&amp;Costs of Stay'!N:N,'2-3. Travel Costs&amp;Costs of Stay'!C:C,B29,'2-3. Travel Costs&amp;Costs of Stay'!B:B,$C$25)+SUMIFS('4. Equipment Costs'!H:H,'4. Equipment Costs'!C:C,B29,'4. Equipment Costs'!B:B,$C$25)+SUMIFS('5. Subcontracting Costs'!H:H,'5. Subcontracting Costs'!C:C,B29,'5. Subcontracting Costs'!B:B,$C$25)</f>
        <v>10673</v>
      </c>
      <c r="D29" s="54">
        <f>SUMIFS('1. Staff costs'!S:S,'1. Staff costs'!C:C,B29,'1. Staff costs'!B:B,$D$25)+SUMIFS('2-3. Travel Costs&amp;Costs of Stay'!N:N,'2-3. Travel Costs&amp;Costs of Stay'!C:C,B29,'2-3. Travel Costs&amp;Costs of Stay'!B:B,$D$25)+SUMIFS('4. Equipment Costs'!H:H,'4. Equipment Costs'!C:C,B29,'4. Equipment Costs'!B:B,$D$25)+SUMIFS('5. Subcontracting Costs'!H:H,'5. Subcontracting Costs'!C:C,B29,'5. Subcontracting Costs'!B:B,$D$25)</f>
        <v>80806</v>
      </c>
      <c r="E29" s="54">
        <f>SUMIFS('1. Staff costs'!S:S,'1. Staff costs'!C:C,B29,'1. Staff costs'!B:B,$E$25)+SUMIFS('2-3. Travel Costs&amp;Costs of Stay'!N:N,'2-3. Travel Costs&amp;Costs of Stay'!C:C,B29,'2-3. Travel Costs&amp;Costs of Stay'!B:B,$E$25)+SUMIFS('4. Equipment Costs'!H:H,'4. Equipment Costs'!C:C,B29,'4. Equipment Costs'!B:B,$E$25)+SUMIFS('5. Subcontracting Costs'!H:H,'5. Subcontracting Costs'!C:C,B29,'5. Subcontracting Costs'!B:B,$E$25)</f>
        <v>3638</v>
      </c>
      <c r="F29" s="54">
        <f>SUMIFS('1. Staff costs'!S:S,'1. Staff costs'!C:C,B29,'1. Staff costs'!B:B,$B$8)+SUMIFS('2-3. Travel Costs&amp;Costs of Stay'!N:N,'2-3. Travel Costs&amp;Costs of Stay'!C:C,B29,'2-3. Travel Costs&amp;Costs of Stay'!B:B,$B$8)+SUMIFS('4. Equipment Costs'!H:H,'4. Equipment Costs'!C:C,B29,'4. Equipment Costs'!B:B,$B$8)+SUMIFS('5. Subcontracting Costs'!H:H,'5. Subcontracting Costs'!C:C,B29,'5. Subcontracting Costs'!B:B,$B$8)</f>
        <v>24630</v>
      </c>
      <c r="G29" s="54">
        <f>SUMIFS('1. Staff costs'!S:S,'1. Staff costs'!C:C,B29,'1. Staff costs'!B:B,$G$25)+SUMIFS('2-3. Travel Costs&amp;Costs of Stay'!N:N,'2-3. Travel Costs&amp;Costs of Stay'!C:C,B29,'2-3. Travel Costs&amp;Costs of Stay'!B:B,$G$25)+SUMIFS('4. Equipment Costs'!H:H,'4. Equipment Costs'!C:C,B29,'4. Equipment Costs'!B:B,$G$25)+SUMIFS('5. Subcontracting Costs'!H:H,'5. Subcontracting Costs'!C:C,B29,'5. Subcontracting Costs'!B:B,$G$25)</f>
        <v>9354</v>
      </c>
      <c r="H29" s="61">
        <f>SUMIF('B. Special Mob Strand - Student'!B:B,B29,'B. Special Mob Strand - Student'!N:N)+SUMIF('B. Special Mob Strand - Staff'!B:B,B29,'B. Special Mob Strand - Staff'!N:N)</f>
        <v>0</v>
      </c>
      <c r="I29" s="64">
        <f t="shared" si="4"/>
        <v>129101</v>
      </c>
    </row>
    <row r="30" spans="2:9" x14ac:dyDescent="0.35">
      <c r="B30" s="15" t="s">
        <v>13</v>
      </c>
      <c r="C30" s="54">
        <f>SUMIFS('1. Staff costs'!S:S,'1. Staff costs'!C:C,B30,'1. Staff costs'!B:B,$C$25)+SUMIFS('2-3. Travel Costs&amp;Costs of Stay'!N:N,'2-3. Travel Costs&amp;Costs of Stay'!C:C,B30,'2-3. Travel Costs&amp;Costs of Stay'!B:B,$C$25)+SUMIFS('4. Equipment Costs'!H:H,'4. Equipment Costs'!C:C,B30,'4. Equipment Costs'!B:B,$C$25)+SUMIFS('5. Subcontracting Costs'!H:H,'5. Subcontracting Costs'!C:C,B30,'5. Subcontracting Costs'!B:B,$C$25)</f>
        <v>8621</v>
      </c>
      <c r="D30" s="54">
        <f>SUMIFS('1. Staff costs'!S:S,'1. Staff costs'!C:C,B30,'1. Staff costs'!B:B,$D$25)+SUMIFS('2-3. Travel Costs&amp;Costs of Stay'!N:N,'2-3. Travel Costs&amp;Costs of Stay'!C:C,B30,'2-3. Travel Costs&amp;Costs of Stay'!B:B,$D$25)+SUMIFS('4. Equipment Costs'!H:H,'4. Equipment Costs'!C:C,B30,'4. Equipment Costs'!B:B,$D$25)+SUMIFS('5. Subcontracting Costs'!H:H,'5. Subcontracting Costs'!C:C,B30,'5. Subcontracting Costs'!B:B,$D$25)</f>
        <v>30894</v>
      </c>
      <c r="E30" s="54">
        <f>SUMIFS('1. Staff costs'!S:S,'1. Staff costs'!C:C,B30,'1. Staff costs'!B:B,$E$25)+SUMIFS('2-3. Travel Costs&amp;Costs of Stay'!N:N,'2-3. Travel Costs&amp;Costs of Stay'!C:C,B30,'2-3. Travel Costs&amp;Costs of Stay'!B:B,$E$25)+SUMIFS('4. Equipment Costs'!H:H,'4. Equipment Costs'!C:C,B30,'4. Equipment Costs'!B:B,$E$25)+SUMIFS('5. Subcontracting Costs'!H:H,'5. Subcontracting Costs'!C:C,B30,'5. Subcontracting Costs'!B:B,$E$25)</f>
        <v>6448</v>
      </c>
      <c r="F30" s="54">
        <f>SUMIFS('1. Staff costs'!S:S,'1. Staff costs'!C:C,B30,'1. Staff costs'!B:B,$B$8)+SUMIFS('2-3. Travel Costs&amp;Costs of Stay'!N:N,'2-3. Travel Costs&amp;Costs of Stay'!C:C,B30,'2-3. Travel Costs&amp;Costs of Stay'!B:B,$B$8)+SUMIFS('4. Equipment Costs'!H:H,'4. Equipment Costs'!C:C,B30,'4. Equipment Costs'!B:B,$B$8)+SUMIFS('5. Subcontracting Costs'!H:H,'5. Subcontracting Costs'!C:C,B30,'5. Subcontracting Costs'!B:B,$B$8)</f>
        <v>12350</v>
      </c>
      <c r="G30" s="54">
        <f>SUMIFS('1. Staff costs'!S:S,'1. Staff costs'!C:C,B30,'1. Staff costs'!B:B,$G$25)+SUMIFS('2-3. Travel Costs&amp;Costs of Stay'!N:N,'2-3. Travel Costs&amp;Costs of Stay'!C:C,B30,'2-3. Travel Costs&amp;Costs of Stay'!B:B,$G$25)+SUMIFS('4. Equipment Costs'!H:H,'4. Equipment Costs'!C:C,B30,'4. Equipment Costs'!B:B,$G$25)+SUMIFS('5. Subcontracting Costs'!H:H,'5. Subcontracting Costs'!C:C,B30,'5. Subcontracting Costs'!B:B,$G$25)</f>
        <v>1449</v>
      </c>
      <c r="H30" s="61">
        <f>SUMIF('B. Special Mob Strand - Student'!B:B,B30,'B. Special Mob Strand - Student'!N:N)+SUMIF('B. Special Mob Strand - Staff'!B:B,B30,'B. Special Mob Strand - Staff'!N:N)</f>
        <v>0</v>
      </c>
      <c r="I30" s="64">
        <f t="shared" si="4"/>
        <v>59762</v>
      </c>
    </row>
    <row r="31" spans="2:9" x14ac:dyDescent="0.35">
      <c r="B31" s="15" t="s">
        <v>14</v>
      </c>
      <c r="C31" s="54">
        <f>SUMIFS('1. Staff costs'!S:S,'1. Staff costs'!C:C,B31,'1. Staff costs'!B:B,$C$25)+SUMIFS('2-3. Travel Costs&amp;Costs of Stay'!N:N,'2-3. Travel Costs&amp;Costs of Stay'!C:C,B31,'2-3. Travel Costs&amp;Costs of Stay'!B:B,$C$25)+SUMIFS('4. Equipment Costs'!H:H,'4. Equipment Costs'!C:C,B31,'4. Equipment Costs'!B:B,$C$25)+SUMIFS('5. Subcontracting Costs'!H:H,'5. Subcontracting Costs'!C:C,B31,'5. Subcontracting Costs'!B:B,$C$25)</f>
        <v>7704</v>
      </c>
      <c r="D31" s="54">
        <f>SUMIFS('1. Staff costs'!S:S,'1. Staff costs'!C:C,B31,'1. Staff costs'!B:B,$D$25)+SUMIFS('2-3. Travel Costs&amp;Costs of Stay'!N:N,'2-3. Travel Costs&amp;Costs of Stay'!C:C,B31,'2-3. Travel Costs&amp;Costs of Stay'!B:B,$D$25)+SUMIFS('4. Equipment Costs'!H:H,'4. Equipment Costs'!C:C,B31,'4. Equipment Costs'!B:B,$D$25)+SUMIFS('5. Subcontracting Costs'!H:H,'5. Subcontracting Costs'!C:C,B31,'5. Subcontracting Costs'!B:B,$D$25)</f>
        <v>31791</v>
      </c>
      <c r="E31" s="54">
        <f>SUMIFS('1. Staff costs'!S:S,'1. Staff costs'!C:C,B31,'1. Staff costs'!B:B,$E$25)+SUMIFS('2-3. Travel Costs&amp;Costs of Stay'!N:N,'2-3. Travel Costs&amp;Costs of Stay'!C:C,B31,'2-3. Travel Costs&amp;Costs of Stay'!B:B,$E$25)+SUMIFS('4. Equipment Costs'!H:H,'4. Equipment Costs'!C:C,B31,'4. Equipment Costs'!B:B,$E$25)+SUMIFS('5. Subcontracting Costs'!H:H,'5. Subcontracting Costs'!C:C,B31,'5. Subcontracting Costs'!B:B,$E$25)</f>
        <v>7496</v>
      </c>
      <c r="F31" s="54">
        <f>SUMIFS('1. Staff costs'!S:S,'1. Staff costs'!C:C,B31,'1. Staff costs'!B:B,$B$8)+SUMIFS('2-3. Travel Costs&amp;Costs of Stay'!N:N,'2-3. Travel Costs&amp;Costs of Stay'!C:C,B31,'2-3. Travel Costs&amp;Costs of Stay'!B:B,$B$8)+SUMIFS('4. Equipment Costs'!H:H,'4. Equipment Costs'!C:C,B31,'4. Equipment Costs'!B:B,$B$8)+SUMIFS('5. Subcontracting Costs'!H:H,'5. Subcontracting Costs'!C:C,B31,'5. Subcontracting Costs'!B:B,$B$8)</f>
        <v>12624</v>
      </c>
      <c r="G31" s="54">
        <f>SUMIFS('1. Staff costs'!S:S,'1. Staff costs'!C:C,B31,'1. Staff costs'!B:B,$G$25)+SUMIFS('2-3. Travel Costs&amp;Costs of Stay'!N:N,'2-3. Travel Costs&amp;Costs of Stay'!C:C,B31,'2-3. Travel Costs&amp;Costs of Stay'!B:B,$G$25)+SUMIFS('4. Equipment Costs'!H:H,'4. Equipment Costs'!C:C,B31,'4. Equipment Costs'!B:B,$G$25)+SUMIFS('5. Subcontracting Costs'!H:H,'5. Subcontracting Costs'!C:C,B31,'5. Subcontracting Costs'!B:B,$G$25)</f>
        <v>4632.5</v>
      </c>
      <c r="H31" s="61">
        <f>SUMIF('B. Special Mob Strand - Student'!B:B,B31,'B. Special Mob Strand - Student'!N:N)+SUMIF('B. Special Mob Strand - Staff'!B:B,B31,'B. Special Mob Strand - Staff'!N:N)</f>
        <v>0</v>
      </c>
      <c r="I31" s="64">
        <f t="shared" si="4"/>
        <v>64247.5</v>
      </c>
    </row>
    <row r="32" spans="2:9" x14ac:dyDescent="0.35">
      <c r="B32" s="15" t="s">
        <v>15</v>
      </c>
      <c r="C32" s="54">
        <f>SUMIFS('1. Staff costs'!S:S,'1. Staff costs'!C:C,B32,'1. Staff costs'!B:B,$C$25)+SUMIFS('2-3. Travel Costs&amp;Costs of Stay'!N:N,'2-3. Travel Costs&amp;Costs of Stay'!C:C,B32,'2-3. Travel Costs&amp;Costs of Stay'!B:B,$C$25)+SUMIFS('4. Equipment Costs'!H:H,'4. Equipment Costs'!C:C,B32,'4. Equipment Costs'!B:B,$C$25)+SUMIFS('5. Subcontracting Costs'!H:H,'5. Subcontracting Costs'!C:C,B32,'5. Subcontracting Costs'!B:B,$C$25)</f>
        <v>8621</v>
      </c>
      <c r="D32" s="54">
        <f>SUMIFS('1. Staff costs'!S:S,'1. Staff costs'!C:C,B32,'1. Staff costs'!B:B,$D$25)+SUMIFS('2-3. Travel Costs&amp;Costs of Stay'!N:N,'2-3. Travel Costs&amp;Costs of Stay'!C:C,B32,'2-3. Travel Costs&amp;Costs of Stay'!B:B,$D$25)+SUMIFS('4. Equipment Costs'!H:H,'4. Equipment Costs'!C:C,B32,'4. Equipment Costs'!B:B,$D$25)+SUMIFS('5. Subcontracting Costs'!H:H,'5. Subcontracting Costs'!C:C,B32,'5. Subcontracting Costs'!B:B,$D$25)</f>
        <v>33599</v>
      </c>
      <c r="E32" s="54">
        <f>SUMIFS('1. Staff costs'!S:S,'1. Staff costs'!C:C,B32,'1. Staff costs'!B:B,$E$25)+SUMIFS('2-3. Travel Costs&amp;Costs of Stay'!N:N,'2-3. Travel Costs&amp;Costs of Stay'!C:C,B32,'2-3. Travel Costs&amp;Costs of Stay'!B:B,$E$25)+SUMIFS('4. Equipment Costs'!H:H,'4. Equipment Costs'!C:C,B32,'4. Equipment Costs'!B:B,$E$25)+SUMIFS('5. Subcontracting Costs'!H:H,'5. Subcontracting Costs'!C:C,B32,'5. Subcontracting Costs'!B:B,$E$25)</f>
        <v>5728</v>
      </c>
      <c r="F32" s="54">
        <f>SUMIFS('1. Staff costs'!S:S,'1. Staff costs'!C:C,B32,'1. Staff costs'!B:B,$B$8)+SUMIFS('2-3. Travel Costs&amp;Costs of Stay'!N:N,'2-3. Travel Costs&amp;Costs of Stay'!C:C,B32,'2-3. Travel Costs&amp;Costs of Stay'!B:B,$B$8)+SUMIFS('4. Equipment Costs'!H:H,'4. Equipment Costs'!C:C,B32,'4. Equipment Costs'!B:B,$B$8)+SUMIFS('5. Subcontracting Costs'!H:H,'5. Subcontracting Costs'!C:C,B32,'5. Subcontracting Costs'!B:B,$B$8)</f>
        <v>12794.5</v>
      </c>
      <c r="G32" s="54">
        <f>SUMIFS('1. Staff costs'!S:S,'1. Staff costs'!C:C,B32,'1. Staff costs'!B:B,$G$25)+SUMIFS('2-3. Travel Costs&amp;Costs of Stay'!N:N,'2-3. Travel Costs&amp;Costs of Stay'!C:C,B32,'2-3. Travel Costs&amp;Costs of Stay'!B:B,$G$25)+SUMIFS('4. Equipment Costs'!H:H,'4. Equipment Costs'!C:C,B32,'4. Equipment Costs'!B:B,$G$25)+SUMIFS('5. Subcontracting Costs'!H:H,'5. Subcontracting Costs'!C:C,B32,'5. Subcontracting Costs'!B:B,$G$25)</f>
        <v>1449</v>
      </c>
      <c r="H32" s="61">
        <f>SUMIF('B. Special Mob Strand - Student'!B:B,B32,'B. Special Mob Strand - Student'!N:N)+SUMIF('B. Special Mob Strand - Staff'!B:B,B32,'B. Special Mob Strand - Staff'!N:N)</f>
        <v>0</v>
      </c>
      <c r="I32" s="64">
        <f t="shared" si="4"/>
        <v>62191.5</v>
      </c>
    </row>
    <row r="33" spans="2:9" x14ac:dyDescent="0.35">
      <c r="B33" s="15" t="s">
        <v>16</v>
      </c>
      <c r="C33" s="54">
        <f>SUMIFS('1. Staff costs'!S:S,'1. Staff costs'!C:C,B33,'1. Staff costs'!B:B,$C$25)+SUMIFS('2-3. Travel Costs&amp;Costs of Stay'!N:N,'2-3. Travel Costs&amp;Costs of Stay'!C:C,B33,'2-3. Travel Costs&amp;Costs of Stay'!B:B,$C$25)+SUMIFS('4. Equipment Costs'!H:H,'4. Equipment Costs'!C:C,B33,'4. Equipment Costs'!B:B,$C$25)+SUMIFS('5. Subcontracting Costs'!H:H,'5. Subcontracting Costs'!C:C,B33,'5. Subcontracting Costs'!B:B,$C$25)</f>
        <v>6358</v>
      </c>
      <c r="D33" s="54">
        <f>SUMIFS('1. Staff costs'!S:S,'1. Staff costs'!C:C,B33,'1. Staff costs'!B:B,$D$25)+SUMIFS('2-3. Travel Costs&amp;Costs of Stay'!N:N,'2-3. Travel Costs&amp;Costs of Stay'!C:C,B33,'2-3. Travel Costs&amp;Costs of Stay'!B:B,$D$25)+SUMIFS('4. Equipment Costs'!H:H,'4. Equipment Costs'!C:C,B33,'4. Equipment Costs'!B:B,$D$25)+SUMIFS('5. Subcontracting Costs'!H:H,'5. Subcontracting Costs'!C:C,B33,'5. Subcontracting Costs'!B:B,$D$25)</f>
        <v>33095</v>
      </c>
      <c r="E33" s="54">
        <f>SUMIFS('1. Staff costs'!S:S,'1. Staff costs'!C:C,B33,'1. Staff costs'!B:B,$E$25)+SUMIFS('2-3. Travel Costs&amp;Costs of Stay'!N:N,'2-3. Travel Costs&amp;Costs of Stay'!C:C,B33,'2-3. Travel Costs&amp;Costs of Stay'!B:B,$E$25)+SUMIFS('4. Equipment Costs'!H:H,'4. Equipment Costs'!C:C,B33,'4. Equipment Costs'!B:B,$E$25)+SUMIFS('5. Subcontracting Costs'!H:H,'5. Subcontracting Costs'!C:C,B33,'5. Subcontracting Costs'!B:B,$E$25)</f>
        <v>1488</v>
      </c>
      <c r="F33" s="54">
        <f>SUMIFS('1. Staff costs'!S:S,'1. Staff costs'!C:C,B33,'1. Staff costs'!B:B,$B$8)+SUMIFS('2-3. Travel Costs&amp;Costs of Stay'!N:N,'2-3. Travel Costs&amp;Costs of Stay'!C:C,B33,'2-3. Travel Costs&amp;Costs of Stay'!B:B,$B$8)+SUMIFS('4. Equipment Costs'!H:H,'4. Equipment Costs'!C:C,B33,'4. Equipment Costs'!B:B,$B$8)+SUMIFS('5. Subcontracting Costs'!H:H,'5. Subcontracting Costs'!C:C,B33,'5. Subcontracting Costs'!B:B,$B$8)</f>
        <v>10229</v>
      </c>
      <c r="G33" s="54">
        <f>SUMIFS('1. Staff costs'!S:S,'1. Staff costs'!C:C,B33,'1. Staff costs'!B:B,$G$25)+SUMIFS('2-3. Travel Costs&amp;Costs of Stay'!N:N,'2-3. Travel Costs&amp;Costs of Stay'!C:C,B33,'2-3. Travel Costs&amp;Costs of Stay'!B:B,$G$25)+SUMIFS('4. Equipment Costs'!H:H,'4. Equipment Costs'!C:C,B33,'4. Equipment Costs'!B:B,$G$25)+SUMIFS('5. Subcontracting Costs'!H:H,'5. Subcontracting Costs'!C:C,B33,'5. Subcontracting Costs'!B:B,$G$25)</f>
        <v>4594</v>
      </c>
      <c r="H33" s="61">
        <f>SUMIF('B. Special Mob Strand - Student'!B:B,B33,'B. Special Mob Strand - Student'!N:N)+SUMIF('B. Special Mob Strand - Staff'!B:B,B33,'B. Special Mob Strand - Staff'!N:N)</f>
        <v>0</v>
      </c>
      <c r="I33" s="64">
        <f t="shared" si="4"/>
        <v>55764</v>
      </c>
    </row>
    <row r="34" spans="2:9" x14ac:dyDescent="0.35">
      <c r="B34" s="15" t="s">
        <v>17</v>
      </c>
      <c r="C34" s="54">
        <f>SUMIFS('1. Staff costs'!S:S,'1. Staff costs'!C:C,B34,'1. Staff costs'!B:B,$C$25)+SUMIFS('2-3. Travel Costs&amp;Costs of Stay'!N:N,'2-3. Travel Costs&amp;Costs of Stay'!C:C,B34,'2-3. Travel Costs&amp;Costs of Stay'!B:B,$C$25)+SUMIFS('4. Equipment Costs'!H:H,'4. Equipment Costs'!C:C,B34,'4. Equipment Costs'!B:B,$C$25)+SUMIFS('5. Subcontracting Costs'!H:H,'5. Subcontracting Costs'!C:C,B34,'5. Subcontracting Costs'!B:B,$C$25)</f>
        <v>6358</v>
      </c>
      <c r="D34" s="54">
        <f>SUMIFS('1. Staff costs'!S:S,'1. Staff costs'!C:C,B34,'1. Staff costs'!B:B,$D$25)+SUMIFS('2-3. Travel Costs&amp;Costs of Stay'!N:N,'2-3. Travel Costs&amp;Costs of Stay'!C:C,B34,'2-3. Travel Costs&amp;Costs of Stay'!B:B,$D$25)+SUMIFS('4. Equipment Costs'!H:H,'4. Equipment Costs'!C:C,B34,'4. Equipment Costs'!B:B,$D$25)+SUMIFS('5. Subcontracting Costs'!H:H,'5. Subcontracting Costs'!C:C,B34,'5. Subcontracting Costs'!B:B,$D$25)</f>
        <v>33815</v>
      </c>
      <c r="E34" s="54">
        <f>SUMIFS('1. Staff costs'!S:S,'1. Staff costs'!C:C,B34,'1. Staff costs'!B:B,$E$25)+SUMIFS('2-3. Travel Costs&amp;Costs of Stay'!N:N,'2-3. Travel Costs&amp;Costs of Stay'!C:C,B34,'2-3. Travel Costs&amp;Costs of Stay'!B:B,$E$25)+SUMIFS('4. Equipment Costs'!H:H,'4. Equipment Costs'!C:C,B34,'4. Equipment Costs'!B:B,$E$25)+SUMIFS('5. Subcontracting Costs'!H:H,'5. Subcontracting Costs'!C:C,B34,'5. Subcontracting Costs'!B:B,$E$25)</f>
        <v>1488</v>
      </c>
      <c r="F34" s="54">
        <f>SUMIFS('1. Staff costs'!S:S,'1. Staff costs'!C:C,B34,'1. Staff costs'!B:B,$B$8)+SUMIFS('2-3. Travel Costs&amp;Costs of Stay'!N:N,'2-3. Travel Costs&amp;Costs of Stay'!C:C,B34,'2-3. Travel Costs&amp;Costs of Stay'!B:B,$B$8)+SUMIFS('4. Equipment Costs'!H:H,'4. Equipment Costs'!C:C,B34,'4. Equipment Costs'!B:B,$B$8)+SUMIFS('5. Subcontracting Costs'!H:H,'5. Subcontracting Costs'!C:C,B34,'5. Subcontracting Costs'!B:B,$B$8)</f>
        <v>10399</v>
      </c>
      <c r="G34" s="54">
        <f>SUMIFS('1. Staff costs'!S:S,'1. Staff costs'!C:C,B34,'1. Staff costs'!B:B,$G$25)+SUMIFS('2-3. Travel Costs&amp;Costs of Stay'!N:N,'2-3. Travel Costs&amp;Costs of Stay'!C:C,B34,'2-3. Travel Costs&amp;Costs of Stay'!B:B,$G$25)+SUMIFS('4. Equipment Costs'!H:H,'4. Equipment Costs'!C:C,B34,'4. Equipment Costs'!B:B,$G$25)+SUMIFS('5. Subcontracting Costs'!H:H,'5. Subcontracting Costs'!C:C,B34,'5. Subcontracting Costs'!B:B,$G$25)</f>
        <v>4594</v>
      </c>
      <c r="H34" s="61">
        <f>SUMIF('B. Special Mob Strand - Student'!B:B,B34,'B. Special Mob Strand - Student'!N:N)+SUMIF('B. Special Mob Strand - Staff'!B:B,B34,'B. Special Mob Strand - Staff'!N:N)</f>
        <v>0</v>
      </c>
      <c r="I34" s="64">
        <f t="shared" si="4"/>
        <v>56654</v>
      </c>
    </row>
    <row r="35" spans="2:9" x14ac:dyDescent="0.35">
      <c r="B35" s="15" t="s">
        <v>18</v>
      </c>
      <c r="C35" s="54">
        <f>SUMIFS('1. Staff costs'!S:S,'1. Staff costs'!C:C,B35,'1. Staff costs'!B:B,$C$25)+SUMIFS('2-3. Travel Costs&amp;Costs of Stay'!N:N,'2-3. Travel Costs&amp;Costs of Stay'!C:C,B35,'2-3. Travel Costs&amp;Costs of Stay'!B:B,$C$25)+SUMIFS('4. Equipment Costs'!H:H,'4. Equipment Costs'!C:C,B35,'4. Equipment Costs'!B:B,$C$25)+SUMIFS('5. Subcontracting Costs'!H:H,'5. Subcontracting Costs'!C:C,B35,'5. Subcontracting Costs'!B:B,$C$25)</f>
        <v>6358</v>
      </c>
      <c r="D35" s="54">
        <f>SUMIFS('1. Staff costs'!S:S,'1. Staff costs'!C:C,B35,'1. Staff costs'!B:B,$D$25)+SUMIFS('2-3. Travel Costs&amp;Costs of Stay'!N:N,'2-3. Travel Costs&amp;Costs of Stay'!C:C,B35,'2-3. Travel Costs&amp;Costs of Stay'!B:B,$D$25)+SUMIFS('4. Equipment Costs'!H:H,'4. Equipment Costs'!C:C,B35,'4. Equipment Costs'!B:B,$D$25)+SUMIFS('5. Subcontracting Costs'!H:H,'5. Subcontracting Costs'!C:C,B35,'5. Subcontracting Costs'!B:B,$D$25)</f>
        <v>32375</v>
      </c>
      <c r="E35" s="54">
        <f>SUMIFS('1. Staff costs'!S:S,'1. Staff costs'!C:C,B35,'1. Staff costs'!B:B,$E$25)+SUMIFS('2-3. Travel Costs&amp;Costs of Stay'!N:N,'2-3. Travel Costs&amp;Costs of Stay'!C:C,B35,'2-3. Travel Costs&amp;Costs of Stay'!B:B,$E$25)+SUMIFS('4. Equipment Costs'!H:H,'4. Equipment Costs'!C:C,B35,'4. Equipment Costs'!B:B,$E$25)+SUMIFS('5. Subcontracting Costs'!H:H,'5. Subcontracting Costs'!C:C,B35,'5. Subcontracting Costs'!B:B,$E$25)</f>
        <v>1488</v>
      </c>
      <c r="F35" s="54">
        <f>SUMIFS('1. Staff costs'!S:S,'1. Staff costs'!C:C,B35,'1. Staff costs'!B:B,$B$8)+SUMIFS('2-3. Travel Costs&amp;Costs of Stay'!N:N,'2-3. Travel Costs&amp;Costs of Stay'!C:C,B35,'2-3. Travel Costs&amp;Costs of Stay'!B:B,$B$8)+SUMIFS('4. Equipment Costs'!H:H,'4. Equipment Costs'!C:C,B35,'4. Equipment Costs'!B:B,$B$8)+SUMIFS('5. Subcontracting Costs'!H:H,'5. Subcontracting Costs'!C:C,B35,'5. Subcontracting Costs'!B:B,$B$8)</f>
        <v>10484</v>
      </c>
      <c r="G35" s="54">
        <f>SUMIFS('1. Staff costs'!S:S,'1. Staff costs'!C:C,B35,'1. Staff costs'!B:B,$G$25)+SUMIFS('2-3. Travel Costs&amp;Costs of Stay'!N:N,'2-3. Travel Costs&amp;Costs of Stay'!C:C,B35,'2-3. Travel Costs&amp;Costs of Stay'!B:B,$G$25)+SUMIFS('4. Equipment Costs'!H:H,'4. Equipment Costs'!C:C,B35,'4. Equipment Costs'!B:B,$G$25)+SUMIFS('5. Subcontracting Costs'!H:H,'5. Subcontracting Costs'!C:C,B35,'5. Subcontracting Costs'!B:B,$G$25)</f>
        <v>4594</v>
      </c>
      <c r="H35" s="61">
        <f>SUMIF('B. Special Mob Strand - Student'!B:B,B35,'B. Special Mob Strand - Student'!N:N)+SUMIF('B. Special Mob Strand - Staff'!B:B,B35,'B. Special Mob Strand - Staff'!N:N)</f>
        <v>0</v>
      </c>
      <c r="I35" s="64">
        <f t="shared" si="4"/>
        <v>55299</v>
      </c>
    </row>
    <row r="36" spans="2:9" x14ac:dyDescent="0.35">
      <c r="B36" s="15" t="s">
        <v>19</v>
      </c>
      <c r="C36" s="54">
        <f>SUMIFS('1. Staff costs'!S:S,'1. Staff costs'!C:C,B36,'1. Staff costs'!B:B,$C$25)+SUMIFS('2-3. Travel Costs&amp;Costs of Stay'!N:N,'2-3. Travel Costs&amp;Costs of Stay'!C:C,B36,'2-3. Travel Costs&amp;Costs of Stay'!B:B,$C$25)+SUMIFS('4. Equipment Costs'!H:H,'4. Equipment Costs'!C:C,B36,'4. Equipment Costs'!B:B,$C$25)+SUMIFS('5. Subcontracting Costs'!H:H,'5. Subcontracting Costs'!C:C,B36,'5. Subcontracting Costs'!B:B,$C$25)</f>
        <v>8555.5</v>
      </c>
      <c r="D36" s="54">
        <f>SUMIFS('1. Staff costs'!S:S,'1. Staff costs'!C:C,B36,'1. Staff costs'!B:B,$D$25)+SUMIFS('2-3. Travel Costs&amp;Costs of Stay'!N:N,'2-3. Travel Costs&amp;Costs of Stay'!C:C,B36,'2-3. Travel Costs&amp;Costs of Stay'!B:B,$D$25)+SUMIFS('4. Equipment Costs'!H:H,'4. Equipment Costs'!C:C,B36,'4. Equipment Costs'!B:B,$D$25)+SUMIFS('5. Subcontracting Costs'!H:H,'5. Subcontracting Costs'!C:C,B36,'5. Subcontracting Costs'!B:B,$D$25)</f>
        <v>32654</v>
      </c>
      <c r="E36" s="54">
        <f>SUMIFS('1. Staff costs'!S:S,'1. Staff costs'!C:C,B36,'1. Staff costs'!B:B,$E$25)+SUMIFS('2-3. Travel Costs&amp;Costs of Stay'!N:N,'2-3. Travel Costs&amp;Costs of Stay'!C:C,B36,'2-3. Travel Costs&amp;Costs of Stay'!B:B,$E$25)+SUMIFS('4. Equipment Costs'!H:H,'4. Equipment Costs'!C:C,B36,'4. Equipment Costs'!B:B,$E$25)+SUMIFS('5. Subcontracting Costs'!H:H,'5. Subcontracting Costs'!C:C,B36,'5. Subcontracting Costs'!B:B,$E$25)</f>
        <v>5935</v>
      </c>
      <c r="F36" s="54">
        <f>SUMIFS('1. Staff costs'!S:S,'1. Staff costs'!C:C,B36,'1. Staff costs'!B:B,$B$8)+SUMIFS('2-3. Travel Costs&amp;Costs of Stay'!N:N,'2-3. Travel Costs&amp;Costs of Stay'!C:C,B36,'2-3. Travel Costs&amp;Costs of Stay'!B:B,$B$8)+SUMIFS('4. Equipment Costs'!H:H,'4. Equipment Costs'!C:C,B36,'4. Equipment Costs'!B:B,$B$8)+SUMIFS('5. Subcontracting Costs'!H:H,'5. Subcontracting Costs'!C:C,B36,'5. Subcontracting Costs'!B:B,$B$8)</f>
        <v>12628</v>
      </c>
      <c r="G36" s="54">
        <f>SUMIFS('1. Staff costs'!S:S,'1. Staff costs'!C:C,B36,'1. Staff costs'!B:B,$G$25)+SUMIFS('2-3. Travel Costs&amp;Costs of Stay'!N:N,'2-3. Travel Costs&amp;Costs of Stay'!C:C,B36,'2-3. Travel Costs&amp;Costs of Stay'!B:B,$G$25)+SUMIFS('4. Equipment Costs'!H:H,'4. Equipment Costs'!C:C,B36,'4. Equipment Costs'!B:B,$G$25)+SUMIFS('5. Subcontracting Costs'!H:H,'5. Subcontracting Costs'!C:C,B36,'5. Subcontracting Costs'!B:B,$G$25)</f>
        <v>1471.5</v>
      </c>
      <c r="H36" s="61">
        <f>SUMIF('B. Special Mob Strand - Student'!B:B,B36,'B. Special Mob Strand - Student'!N:N)+SUMIF('B. Special Mob Strand - Staff'!B:B,B36,'B. Special Mob Strand - Staff'!N:N)</f>
        <v>0</v>
      </c>
      <c r="I36" s="64">
        <f t="shared" si="4"/>
        <v>61244</v>
      </c>
    </row>
    <row r="37" spans="2:9" x14ac:dyDescent="0.35">
      <c r="B37" s="15" t="s">
        <v>20</v>
      </c>
      <c r="C37" s="54">
        <f>SUMIFS('1. Staff costs'!S:S,'1. Staff costs'!C:C,B37,'1. Staff costs'!B:B,$C$25)+SUMIFS('2-3. Travel Costs&amp;Costs of Stay'!N:N,'2-3. Travel Costs&amp;Costs of Stay'!C:C,B37,'2-3. Travel Costs&amp;Costs of Stay'!B:B,$C$25)+SUMIFS('4. Equipment Costs'!H:H,'4. Equipment Costs'!C:C,B37,'4. Equipment Costs'!B:B,$C$25)+SUMIFS('5. Subcontracting Costs'!H:H,'5. Subcontracting Costs'!C:C,B37,'5. Subcontracting Costs'!B:B,$C$25)</f>
        <v>0</v>
      </c>
      <c r="D37" s="54">
        <f>SUMIFS('1. Staff costs'!S:S,'1. Staff costs'!C:C,B37,'1. Staff costs'!B:B,$D$25)+SUMIFS('2-3. Travel Costs&amp;Costs of Stay'!N:N,'2-3. Travel Costs&amp;Costs of Stay'!C:C,B37,'2-3. Travel Costs&amp;Costs of Stay'!B:B,$D$25)+SUMIFS('4. Equipment Costs'!H:H,'4. Equipment Costs'!C:C,B37,'4. Equipment Costs'!B:B,$D$25)+SUMIFS('5. Subcontracting Costs'!H:H,'5. Subcontracting Costs'!C:C,B37,'5. Subcontracting Costs'!B:B,$D$25)</f>
        <v>0</v>
      </c>
      <c r="E37" s="54">
        <f>SUMIFS('1. Staff costs'!S:S,'1. Staff costs'!C:C,B37,'1. Staff costs'!B:B,$E$25)+SUMIFS('2-3. Travel Costs&amp;Costs of Stay'!N:N,'2-3. Travel Costs&amp;Costs of Stay'!C:C,B37,'2-3. Travel Costs&amp;Costs of Stay'!B:B,$E$25)+SUMIFS('4. Equipment Costs'!H:H,'4. Equipment Costs'!C:C,B37,'4. Equipment Costs'!B:B,$E$25)+SUMIFS('5. Subcontracting Costs'!H:H,'5. Subcontracting Costs'!C:C,B37,'5. Subcontracting Costs'!B:B,$E$25)</f>
        <v>0</v>
      </c>
      <c r="F37" s="54">
        <f>SUMIFS('1. Staff costs'!S:S,'1. Staff costs'!C:C,B37,'1. Staff costs'!B:B,$B$8)+SUMIFS('2-3. Travel Costs&amp;Costs of Stay'!N:N,'2-3. Travel Costs&amp;Costs of Stay'!C:C,B37,'2-3. Travel Costs&amp;Costs of Stay'!B:B,$B$8)+SUMIFS('4. Equipment Costs'!H:H,'4. Equipment Costs'!C:C,B37,'4. Equipment Costs'!B:B,$B$8)+SUMIFS('5. Subcontracting Costs'!H:H,'5. Subcontracting Costs'!C:C,B37,'5. Subcontracting Costs'!B:B,$B$8)</f>
        <v>0</v>
      </c>
      <c r="G37" s="54">
        <f>SUMIFS('1. Staff costs'!S:S,'1. Staff costs'!C:C,B37,'1. Staff costs'!B:B,$G$25)+SUMIFS('2-3. Travel Costs&amp;Costs of Stay'!N:N,'2-3. Travel Costs&amp;Costs of Stay'!C:C,B37,'2-3. Travel Costs&amp;Costs of Stay'!B:B,$G$25)+SUMIFS('4. Equipment Costs'!H:H,'4. Equipment Costs'!C:C,B37,'4. Equipment Costs'!B:B,$G$25)+SUMIFS('5. Subcontracting Costs'!H:H,'5. Subcontracting Costs'!C:C,B37,'5. Subcontracting Costs'!B:B,$G$25)</f>
        <v>0</v>
      </c>
      <c r="H37" s="61">
        <f>SUMIF('B. Special Mob Strand - Student'!B:B,B37,'B. Special Mob Strand - Student'!N:N)+SUMIF('B. Special Mob Strand - Staff'!B:B,B37,'B. Special Mob Strand - Staff'!N:N)</f>
        <v>0</v>
      </c>
      <c r="I37" s="64">
        <f t="shared" si="4"/>
        <v>0</v>
      </c>
    </row>
    <row r="38" spans="2:9" x14ac:dyDescent="0.35">
      <c r="B38" s="15" t="s">
        <v>161</v>
      </c>
      <c r="C38" s="54">
        <f>SUMIFS('1. Staff costs'!S:S,'1. Staff costs'!C:C,B38,'1. Staff costs'!B:B,$C$25)+SUMIFS('2-3. Travel Costs&amp;Costs of Stay'!N:N,'2-3. Travel Costs&amp;Costs of Stay'!C:C,B38,'2-3. Travel Costs&amp;Costs of Stay'!B:B,$C$25)+SUMIFS('4. Equipment Costs'!H:H,'4. Equipment Costs'!C:C,B38,'4. Equipment Costs'!B:B,$C$25)+SUMIFS('5. Subcontracting Costs'!H:H,'5. Subcontracting Costs'!C:C,B38,'5. Subcontracting Costs'!B:B,$C$25)</f>
        <v>0</v>
      </c>
      <c r="D38" s="54">
        <f>SUMIFS('1. Staff costs'!S:S,'1. Staff costs'!C:C,B38,'1. Staff costs'!B:B,$D$25)+SUMIFS('2-3. Travel Costs&amp;Costs of Stay'!N:N,'2-3. Travel Costs&amp;Costs of Stay'!C:C,B38,'2-3. Travel Costs&amp;Costs of Stay'!B:B,$D$25)+SUMIFS('4. Equipment Costs'!H:H,'4. Equipment Costs'!C:C,B38,'4. Equipment Costs'!B:B,$D$25)+SUMIFS('5. Subcontracting Costs'!H:H,'5. Subcontracting Costs'!C:C,B38,'5. Subcontracting Costs'!B:B,$D$25)</f>
        <v>0</v>
      </c>
      <c r="E38" s="54">
        <f>SUMIFS('1. Staff costs'!S:S,'1. Staff costs'!C:C,B38,'1. Staff costs'!B:B,$E$25)+SUMIFS('2-3. Travel Costs&amp;Costs of Stay'!N:N,'2-3. Travel Costs&amp;Costs of Stay'!C:C,B38,'2-3. Travel Costs&amp;Costs of Stay'!B:B,$E$25)+SUMIFS('4. Equipment Costs'!H:H,'4. Equipment Costs'!C:C,B38,'4. Equipment Costs'!B:B,$E$25)+SUMIFS('5. Subcontracting Costs'!H:H,'5. Subcontracting Costs'!C:C,B38,'5. Subcontracting Costs'!B:B,$E$25)</f>
        <v>0</v>
      </c>
      <c r="F38" s="54">
        <f>SUMIFS('1. Staff costs'!S:S,'1. Staff costs'!C:C,B38,'1. Staff costs'!B:B,$B$8)+SUMIFS('2-3. Travel Costs&amp;Costs of Stay'!N:N,'2-3. Travel Costs&amp;Costs of Stay'!C:C,B38,'2-3. Travel Costs&amp;Costs of Stay'!B:B,$B$8)+SUMIFS('4. Equipment Costs'!H:H,'4. Equipment Costs'!C:C,B38,'4. Equipment Costs'!B:B,$B$8)+SUMIFS('5. Subcontracting Costs'!H:H,'5. Subcontracting Costs'!C:C,B38,'5. Subcontracting Costs'!B:B,$B$8)</f>
        <v>0</v>
      </c>
      <c r="G38" s="54">
        <f>SUMIFS('1. Staff costs'!S:S,'1. Staff costs'!C:C,B38,'1. Staff costs'!B:B,$G$25)+SUMIFS('2-3. Travel Costs&amp;Costs of Stay'!N:N,'2-3. Travel Costs&amp;Costs of Stay'!C:C,B38,'2-3. Travel Costs&amp;Costs of Stay'!B:B,$G$25)+SUMIFS('4. Equipment Costs'!H:H,'4. Equipment Costs'!C:C,B38,'4. Equipment Costs'!B:B,$G$25)+SUMIFS('5. Subcontracting Costs'!H:H,'5. Subcontracting Costs'!C:C,B38,'5. Subcontracting Costs'!B:B,$G$25)</f>
        <v>0</v>
      </c>
      <c r="H38" s="61">
        <f>SUMIF('B. Special Mob Strand - Student'!B:B,B38,'B. Special Mob Strand - Student'!N:N)+SUMIF('B. Special Mob Strand - Staff'!B:B,B38,'B. Special Mob Strand - Staff'!N:N)</f>
        <v>0</v>
      </c>
      <c r="I38" s="64">
        <f t="shared" si="4"/>
        <v>0</v>
      </c>
    </row>
    <row r="39" spans="2:9" x14ac:dyDescent="0.35">
      <c r="B39" s="15" t="s">
        <v>21</v>
      </c>
      <c r="C39" s="54">
        <f>SUMIFS('1. Staff costs'!S:S,'1. Staff costs'!C:C,B39,'1. Staff costs'!B:B,$C$25)+SUMIFS('2-3. Travel Costs&amp;Costs of Stay'!N:N,'2-3. Travel Costs&amp;Costs of Stay'!C:C,B39,'2-3. Travel Costs&amp;Costs of Stay'!B:B,$C$25)+SUMIFS('4. Equipment Costs'!H:H,'4. Equipment Costs'!C:C,B39,'4. Equipment Costs'!B:B,$C$25)+SUMIFS('5. Subcontracting Costs'!H:H,'5. Subcontracting Costs'!C:C,B39,'5. Subcontracting Costs'!B:B,$C$25)</f>
        <v>0</v>
      </c>
      <c r="D39" s="54">
        <f>SUMIFS('1. Staff costs'!S:S,'1. Staff costs'!C:C,B39,'1. Staff costs'!B:B,$D$25)+SUMIFS('2-3. Travel Costs&amp;Costs of Stay'!N:N,'2-3. Travel Costs&amp;Costs of Stay'!C:C,B39,'2-3. Travel Costs&amp;Costs of Stay'!B:B,$D$25)+SUMIFS('4. Equipment Costs'!H:H,'4. Equipment Costs'!C:C,B39,'4. Equipment Costs'!B:B,$D$25)+SUMIFS('5. Subcontracting Costs'!H:H,'5. Subcontracting Costs'!C:C,B39,'5. Subcontracting Costs'!B:B,$D$25)</f>
        <v>0</v>
      </c>
      <c r="E39" s="54">
        <f>SUMIFS('1. Staff costs'!S:S,'1. Staff costs'!C:C,B39,'1. Staff costs'!B:B,$E$25)+SUMIFS('2-3. Travel Costs&amp;Costs of Stay'!N:N,'2-3. Travel Costs&amp;Costs of Stay'!C:C,B39,'2-3. Travel Costs&amp;Costs of Stay'!B:B,$E$25)+SUMIFS('4. Equipment Costs'!H:H,'4. Equipment Costs'!C:C,B39,'4. Equipment Costs'!B:B,$E$25)+SUMIFS('5. Subcontracting Costs'!H:H,'5. Subcontracting Costs'!C:C,B39,'5. Subcontracting Costs'!B:B,$E$25)</f>
        <v>0</v>
      </c>
      <c r="F39" s="54">
        <f>SUMIFS('1. Staff costs'!S:S,'1. Staff costs'!C:C,B39,'1. Staff costs'!B:B,$B$8)+SUMIFS('2-3. Travel Costs&amp;Costs of Stay'!N:N,'2-3. Travel Costs&amp;Costs of Stay'!C:C,B39,'2-3. Travel Costs&amp;Costs of Stay'!B:B,$B$8)+SUMIFS('4. Equipment Costs'!H:H,'4. Equipment Costs'!C:C,B39,'4. Equipment Costs'!B:B,$B$8)+SUMIFS('5. Subcontracting Costs'!H:H,'5. Subcontracting Costs'!C:C,B39,'5. Subcontracting Costs'!B:B,$B$8)</f>
        <v>0</v>
      </c>
      <c r="G39" s="54">
        <f>SUMIFS('1. Staff costs'!S:S,'1. Staff costs'!C:C,B39,'1. Staff costs'!B:B,$G$25)+SUMIFS('2-3. Travel Costs&amp;Costs of Stay'!N:N,'2-3. Travel Costs&amp;Costs of Stay'!C:C,B39,'2-3. Travel Costs&amp;Costs of Stay'!B:B,$G$25)+SUMIFS('4. Equipment Costs'!H:H,'4. Equipment Costs'!C:C,B39,'4. Equipment Costs'!B:B,$G$25)+SUMIFS('5. Subcontracting Costs'!H:H,'5. Subcontracting Costs'!C:C,B39,'5. Subcontracting Costs'!B:B,$G$25)</f>
        <v>0</v>
      </c>
      <c r="H39" s="61">
        <f>SUMIF('B. Special Mob Strand - Student'!B:B,B39,'B. Special Mob Strand - Student'!N:N)+SUMIF('B. Special Mob Strand - Staff'!B:B,B39,'B. Special Mob Strand - Staff'!N:N)</f>
        <v>0</v>
      </c>
      <c r="I39" s="64">
        <f t="shared" si="4"/>
        <v>0</v>
      </c>
    </row>
    <row r="40" spans="2:9" x14ac:dyDescent="0.35">
      <c r="B40" s="15" t="s">
        <v>22</v>
      </c>
      <c r="C40" s="54">
        <f>SUMIFS('1. Staff costs'!S:S,'1. Staff costs'!C:C,B40,'1. Staff costs'!B:B,$C$25)+SUMIFS('2-3. Travel Costs&amp;Costs of Stay'!N:N,'2-3. Travel Costs&amp;Costs of Stay'!C:C,B40,'2-3. Travel Costs&amp;Costs of Stay'!B:B,$C$25)+SUMIFS('4. Equipment Costs'!H:H,'4. Equipment Costs'!C:C,B40,'4. Equipment Costs'!B:B,$C$25)+SUMIFS('5. Subcontracting Costs'!H:H,'5. Subcontracting Costs'!C:C,B40,'5. Subcontracting Costs'!B:B,$C$25)</f>
        <v>0</v>
      </c>
      <c r="D40" s="54">
        <f>SUMIFS('1. Staff costs'!S:S,'1. Staff costs'!C:C,B40,'1. Staff costs'!B:B,$D$25)+SUMIFS('2-3. Travel Costs&amp;Costs of Stay'!N:N,'2-3. Travel Costs&amp;Costs of Stay'!C:C,B40,'2-3. Travel Costs&amp;Costs of Stay'!B:B,$D$25)+SUMIFS('4. Equipment Costs'!H:H,'4. Equipment Costs'!C:C,B40,'4. Equipment Costs'!B:B,$D$25)+SUMIFS('5. Subcontracting Costs'!H:H,'5. Subcontracting Costs'!C:C,B40,'5. Subcontracting Costs'!B:B,$D$25)</f>
        <v>0</v>
      </c>
      <c r="E40" s="54">
        <f>SUMIFS('1. Staff costs'!S:S,'1. Staff costs'!C:C,B40,'1. Staff costs'!B:B,$E$25)+SUMIFS('2-3. Travel Costs&amp;Costs of Stay'!N:N,'2-3. Travel Costs&amp;Costs of Stay'!C:C,B40,'2-3. Travel Costs&amp;Costs of Stay'!B:B,$E$25)+SUMIFS('4. Equipment Costs'!H:H,'4. Equipment Costs'!C:C,B40,'4. Equipment Costs'!B:B,$E$25)+SUMIFS('5. Subcontracting Costs'!H:H,'5. Subcontracting Costs'!C:C,B40,'5. Subcontracting Costs'!B:B,$E$25)</f>
        <v>0</v>
      </c>
      <c r="F40" s="54">
        <f>SUMIFS('1. Staff costs'!S:S,'1. Staff costs'!C:C,B40,'1. Staff costs'!B:B,$B$8)+SUMIFS('2-3. Travel Costs&amp;Costs of Stay'!N:N,'2-3. Travel Costs&amp;Costs of Stay'!C:C,B40,'2-3. Travel Costs&amp;Costs of Stay'!B:B,$B$8)+SUMIFS('4. Equipment Costs'!H:H,'4. Equipment Costs'!C:C,B40,'4. Equipment Costs'!B:B,$B$8)+SUMIFS('5. Subcontracting Costs'!H:H,'5. Subcontracting Costs'!C:C,B40,'5. Subcontracting Costs'!B:B,$B$8)</f>
        <v>0</v>
      </c>
      <c r="G40" s="54">
        <f>SUMIFS('1. Staff costs'!S:S,'1. Staff costs'!C:C,B40,'1. Staff costs'!B:B,$G$25)+SUMIFS('2-3. Travel Costs&amp;Costs of Stay'!N:N,'2-3. Travel Costs&amp;Costs of Stay'!C:C,B40,'2-3. Travel Costs&amp;Costs of Stay'!B:B,$G$25)+SUMIFS('4. Equipment Costs'!H:H,'4. Equipment Costs'!C:C,B40,'4. Equipment Costs'!B:B,$G$25)+SUMIFS('5. Subcontracting Costs'!H:H,'5. Subcontracting Costs'!C:C,B40,'5. Subcontracting Costs'!B:B,$G$25)</f>
        <v>0</v>
      </c>
      <c r="H40" s="61">
        <f>SUMIF('B. Special Mob Strand - Student'!B:B,B40,'B. Special Mob Strand - Student'!N:N)+SUMIF('B. Special Mob Strand - Staff'!B:B,B40,'B. Special Mob Strand - Staff'!N:N)</f>
        <v>0</v>
      </c>
      <c r="I40" s="64">
        <f t="shared" si="4"/>
        <v>0</v>
      </c>
    </row>
    <row r="41" spans="2:9" x14ac:dyDescent="0.35">
      <c r="B41" s="15" t="s">
        <v>23</v>
      </c>
      <c r="C41" s="54">
        <f>SUMIFS('1. Staff costs'!S:S,'1. Staff costs'!C:C,B41,'1. Staff costs'!B:B,$C$25)+SUMIFS('2-3. Travel Costs&amp;Costs of Stay'!N:N,'2-3. Travel Costs&amp;Costs of Stay'!C:C,B41,'2-3. Travel Costs&amp;Costs of Stay'!B:B,$C$25)+SUMIFS('4. Equipment Costs'!H:H,'4. Equipment Costs'!C:C,B41,'4. Equipment Costs'!B:B,$C$25)+SUMIFS('5. Subcontracting Costs'!H:H,'5. Subcontracting Costs'!C:C,B41,'5. Subcontracting Costs'!B:B,$C$25)</f>
        <v>0</v>
      </c>
      <c r="D41" s="54">
        <f>SUMIFS('1. Staff costs'!S:S,'1. Staff costs'!C:C,B41,'1. Staff costs'!B:B,$D$25)+SUMIFS('2-3. Travel Costs&amp;Costs of Stay'!N:N,'2-3. Travel Costs&amp;Costs of Stay'!C:C,B41,'2-3. Travel Costs&amp;Costs of Stay'!B:B,$D$25)+SUMIFS('4. Equipment Costs'!H:H,'4. Equipment Costs'!C:C,B41,'4. Equipment Costs'!B:B,$D$25)+SUMIFS('5. Subcontracting Costs'!H:H,'5. Subcontracting Costs'!C:C,B41,'5. Subcontracting Costs'!B:B,$D$25)</f>
        <v>0</v>
      </c>
      <c r="E41" s="54">
        <f>SUMIFS('1. Staff costs'!S:S,'1. Staff costs'!C:C,B41,'1. Staff costs'!B:B,$E$25)+SUMIFS('2-3. Travel Costs&amp;Costs of Stay'!N:N,'2-3. Travel Costs&amp;Costs of Stay'!C:C,B41,'2-3. Travel Costs&amp;Costs of Stay'!B:B,$E$25)+SUMIFS('4. Equipment Costs'!H:H,'4. Equipment Costs'!C:C,B41,'4. Equipment Costs'!B:B,$E$25)+SUMIFS('5. Subcontracting Costs'!H:H,'5. Subcontracting Costs'!C:C,B41,'5. Subcontracting Costs'!B:B,$E$25)</f>
        <v>0</v>
      </c>
      <c r="F41" s="54">
        <f>SUMIFS('1. Staff costs'!S:S,'1. Staff costs'!C:C,B41,'1. Staff costs'!B:B,$B$8)+SUMIFS('2-3. Travel Costs&amp;Costs of Stay'!N:N,'2-3. Travel Costs&amp;Costs of Stay'!C:C,B41,'2-3. Travel Costs&amp;Costs of Stay'!B:B,$B$8)+SUMIFS('4. Equipment Costs'!H:H,'4. Equipment Costs'!C:C,B41,'4. Equipment Costs'!B:B,$B$8)+SUMIFS('5. Subcontracting Costs'!H:H,'5. Subcontracting Costs'!C:C,B41,'5. Subcontracting Costs'!B:B,$B$8)</f>
        <v>0</v>
      </c>
      <c r="G41" s="54">
        <f>SUMIFS('1. Staff costs'!S:S,'1. Staff costs'!C:C,B41,'1. Staff costs'!B:B,$G$25)+SUMIFS('2-3. Travel Costs&amp;Costs of Stay'!N:N,'2-3. Travel Costs&amp;Costs of Stay'!C:C,B41,'2-3. Travel Costs&amp;Costs of Stay'!B:B,$G$25)+SUMIFS('4. Equipment Costs'!H:H,'4. Equipment Costs'!C:C,B41,'4. Equipment Costs'!B:B,$G$25)+SUMIFS('5. Subcontracting Costs'!H:H,'5. Subcontracting Costs'!C:C,B41,'5. Subcontracting Costs'!B:B,$G$25)</f>
        <v>0</v>
      </c>
      <c r="H41" s="61">
        <f>SUMIF('B. Special Mob Strand - Student'!B:B,B41,'B. Special Mob Strand - Student'!N:N)+SUMIF('B. Special Mob Strand - Staff'!B:B,B41,'B. Special Mob Strand - Staff'!N:N)</f>
        <v>0</v>
      </c>
      <c r="I41" s="64">
        <f t="shared" si="4"/>
        <v>0</v>
      </c>
    </row>
    <row r="42" spans="2:9" x14ac:dyDescent="0.35">
      <c r="B42" s="15" t="s">
        <v>24</v>
      </c>
      <c r="C42" s="54">
        <f>SUMIFS('1. Staff costs'!S:S,'1. Staff costs'!C:C,B42,'1. Staff costs'!B:B,$C$25)+SUMIFS('2-3. Travel Costs&amp;Costs of Stay'!N:N,'2-3. Travel Costs&amp;Costs of Stay'!C:C,B42,'2-3. Travel Costs&amp;Costs of Stay'!B:B,$C$25)+SUMIFS('4. Equipment Costs'!H:H,'4. Equipment Costs'!C:C,B42,'4. Equipment Costs'!B:B,$C$25)+SUMIFS('5. Subcontracting Costs'!H:H,'5. Subcontracting Costs'!C:C,B42,'5. Subcontracting Costs'!B:B,$C$25)</f>
        <v>0</v>
      </c>
      <c r="D42" s="54">
        <f>SUMIFS('1. Staff costs'!S:S,'1. Staff costs'!C:C,B42,'1. Staff costs'!B:B,$D$25)+SUMIFS('2-3. Travel Costs&amp;Costs of Stay'!N:N,'2-3. Travel Costs&amp;Costs of Stay'!C:C,B42,'2-3. Travel Costs&amp;Costs of Stay'!B:B,$D$25)+SUMIFS('4. Equipment Costs'!H:H,'4. Equipment Costs'!C:C,B42,'4. Equipment Costs'!B:B,$D$25)+SUMIFS('5. Subcontracting Costs'!H:H,'5. Subcontracting Costs'!C:C,B42,'5. Subcontracting Costs'!B:B,$D$25)</f>
        <v>0</v>
      </c>
      <c r="E42" s="54">
        <f>SUMIFS('1. Staff costs'!S:S,'1. Staff costs'!C:C,B42,'1. Staff costs'!B:B,$E$25)+SUMIFS('2-3. Travel Costs&amp;Costs of Stay'!N:N,'2-3. Travel Costs&amp;Costs of Stay'!C:C,B42,'2-3. Travel Costs&amp;Costs of Stay'!B:B,$E$25)+SUMIFS('4. Equipment Costs'!H:H,'4. Equipment Costs'!C:C,B42,'4. Equipment Costs'!B:B,$E$25)+SUMIFS('5. Subcontracting Costs'!H:H,'5. Subcontracting Costs'!C:C,B42,'5. Subcontracting Costs'!B:B,$E$25)</f>
        <v>0</v>
      </c>
      <c r="F42" s="54">
        <f>SUMIFS('1. Staff costs'!S:S,'1. Staff costs'!C:C,B42,'1. Staff costs'!B:B,$B$8)+SUMIFS('2-3. Travel Costs&amp;Costs of Stay'!N:N,'2-3. Travel Costs&amp;Costs of Stay'!C:C,B42,'2-3. Travel Costs&amp;Costs of Stay'!B:B,$B$8)+SUMIFS('4. Equipment Costs'!H:H,'4. Equipment Costs'!C:C,B42,'4. Equipment Costs'!B:B,$B$8)+SUMIFS('5. Subcontracting Costs'!H:H,'5. Subcontracting Costs'!C:C,B42,'5. Subcontracting Costs'!B:B,$B$8)</f>
        <v>0</v>
      </c>
      <c r="G42" s="54">
        <f>SUMIFS('1. Staff costs'!S:S,'1. Staff costs'!C:C,B42,'1. Staff costs'!B:B,$G$25)+SUMIFS('2-3. Travel Costs&amp;Costs of Stay'!N:N,'2-3. Travel Costs&amp;Costs of Stay'!C:C,B42,'2-3. Travel Costs&amp;Costs of Stay'!B:B,$G$25)+SUMIFS('4. Equipment Costs'!H:H,'4. Equipment Costs'!C:C,B42,'4. Equipment Costs'!B:B,$G$25)+SUMIFS('5. Subcontracting Costs'!H:H,'5. Subcontracting Costs'!C:C,B42,'5. Subcontracting Costs'!B:B,$G$25)</f>
        <v>0</v>
      </c>
      <c r="H42" s="61">
        <f>SUMIF('B. Special Mob Strand - Student'!B:B,B42,'B. Special Mob Strand - Student'!N:N)+SUMIF('B. Special Mob Strand - Staff'!B:B,B42,'B. Special Mob Strand - Staff'!N:N)</f>
        <v>0</v>
      </c>
      <c r="I42" s="64">
        <f t="shared" si="4"/>
        <v>0</v>
      </c>
    </row>
    <row r="43" spans="2:9" x14ac:dyDescent="0.35">
      <c r="B43" s="15" t="s">
        <v>25</v>
      </c>
      <c r="C43" s="54">
        <f>SUMIFS('1. Staff costs'!S:S,'1. Staff costs'!C:C,B43,'1. Staff costs'!B:B,$C$25)+SUMIFS('2-3. Travel Costs&amp;Costs of Stay'!N:N,'2-3. Travel Costs&amp;Costs of Stay'!C:C,B43,'2-3. Travel Costs&amp;Costs of Stay'!B:B,$C$25)+SUMIFS('4. Equipment Costs'!H:H,'4. Equipment Costs'!C:C,B43,'4. Equipment Costs'!B:B,$C$25)+SUMIFS('5. Subcontracting Costs'!H:H,'5. Subcontracting Costs'!C:C,B43,'5. Subcontracting Costs'!B:B,$C$25)</f>
        <v>0</v>
      </c>
      <c r="D43" s="54">
        <f>SUMIFS('1. Staff costs'!S:S,'1. Staff costs'!C:C,B43,'1. Staff costs'!B:B,$D$25)+SUMIFS('2-3. Travel Costs&amp;Costs of Stay'!N:N,'2-3. Travel Costs&amp;Costs of Stay'!C:C,B43,'2-3. Travel Costs&amp;Costs of Stay'!B:B,$D$25)+SUMIFS('4. Equipment Costs'!H:H,'4. Equipment Costs'!C:C,B43,'4. Equipment Costs'!B:B,$D$25)+SUMIFS('5. Subcontracting Costs'!H:H,'5. Subcontracting Costs'!C:C,B43,'5. Subcontracting Costs'!B:B,$D$25)</f>
        <v>0</v>
      </c>
      <c r="E43" s="54">
        <f>SUMIFS('1. Staff costs'!S:S,'1. Staff costs'!C:C,B43,'1. Staff costs'!B:B,$E$25)+SUMIFS('2-3. Travel Costs&amp;Costs of Stay'!N:N,'2-3. Travel Costs&amp;Costs of Stay'!C:C,B43,'2-3. Travel Costs&amp;Costs of Stay'!B:B,$E$25)+SUMIFS('4. Equipment Costs'!H:H,'4. Equipment Costs'!C:C,B43,'4. Equipment Costs'!B:B,$E$25)+SUMIFS('5. Subcontracting Costs'!H:H,'5. Subcontracting Costs'!C:C,B43,'5. Subcontracting Costs'!B:B,$E$25)</f>
        <v>0</v>
      </c>
      <c r="F43" s="54">
        <f>SUMIFS('1. Staff costs'!S:S,'1. Staff costs'!C:C,B43,'1. Staff costs'!B:B,$B$8)+SUMIFS('2-3. Travel Costs&amp;Costs of Stay'!N:N,'2-3. Travel Costs&amp;Costs of Stay'!C:C,B43,'2-3. Travel Costs&amp;Costs of Stay'!B:B,$B$8)+SUMIFS('4. Equipment Costs'!H:H,'4. Equipment Costs'!C:C,B43,'4. Equipment Costs'!B:B,$B$8)+SUMIFS('5. Subcontracting Costs'!H:H,'5. Subcontracting Costs'!C:C,B43,'5. Subcontracting Costs'!B:B,$B$8)</f>
        <v>0</v>
      </c>
      <c r="G43" s="54">
        <f>SUMIFS('1. Staff costs'!S:S,'1. Staff costs'!C:C,B43,'1. Staff costs'!B:B,$G$25)+SUMIFS('2-3. Travel Costs&amp;Costs of Stay'!N:N,'2-3. Travel Costs&amp;Costs of Stay'!C:C,B43,'2-3. Travel Costs&amp;Costs of Stay'!B:B,$G$25)+SUMIFS('4. Equipment Costs'!H:H,'4. Equipment Costs'!C:C,B43,'4. Equipment Costs'!B:B,$G$25)+SUMIFS('5. Subcontracting Costs'!H:H,'5. Subcontracting Costs'!C:C,B43,'5. Subcontracting Costs'!B:B,$G$25)</f>
        <v>0</v>
      </c>
      <c r="H43" s="61">
        <f>SUMIF('B. Special Mob Strand - Student'!B:B,B43,'B. Special Mob Strand - Student'!N:N)+SUMIF('B. Special Mob Strand - Staff'!B:B,B43,'B. Special Mob Strand - Staff'!N:N)</f>
        <v>0</v>
      </c>
      <c r="I43" s="64">
        <f t="shared" si="4"/>
        <v>0</v>
      </c>
    </row>
    <row r="44" spans="2:9" x14ac:dyDescent="0.35">
      <c r="B44" s="15" t="s">
        <v>26</v>
      </c>
      <c r="C44" s="54">
        <f>SUMIFS('1. Staff costs'!S:S,'1. Staff costs'!C:C,B44,'1. Staff costs'!B:B,$C$25)+SUMIFS('2-3. Travel Costs&amp;Costs of Stay'!N:N,'2-3. Travel Costs&amp;Costs of Stay'!C:C,B44,'2-3. Travel Costs&amp;Costs of Stay'!B:B,$C$25)+SUMIFS('4. Equipment Costs'!H:H,'4. Equipment Costs'!C:C,B44,'4. Equipment Costs'!B:B,$C$25)+SUMIFS('5. Subcontracting Costs'!H:H,'5. Subcontracting Costs'!C:C,B44,'5. Subcontracting Costs'!B:B,$C$25)</f>
        <v>0</v>
      </c>
      <c r="D44" s="54">
        <f>SUMIFS('1. Staff costs'!S:S,'1. Staff costs'!C:C,B44,'1. Staff costs'!B:B,$D$25)+SUMIFS('2-3. Travel Costs&amp;Costs of Stay'!N:N,'2-3. Travel Costs&amp;Costs of Stay'!C:C,B44,'2-3. Travel Costs&amp;Costs of Stay'!B:B,$D$25)+SUMIFS('4. Equipment Costs'!H:H,'4. Equipment Costs'!C:C,B44,'4. Equipment Costs'!B:B,$D$25)+SUMIFS('5. Subcontracting Costs'!H:H,'5. Subcontracting Costs'!C:C,B44,'5. Subcontracting Costs'!B:B,$D$25)</f>
        <v>0</v>
      </c>
      <c r="E44" s="54">
        <f>SUMIFS('1. Staff costs'!S:S,'1. Staff costs'!C:C,B44,'1. Staff costs'!B:B,$E$25)+SUMIFS('2-3. Travel Costs&amp;Costs of Stay'!N:N,'2-3. Travel Costs&amp;Costs of Stay'!C:C,B44,'2-3. Travel Costs&amp;Costs of Stay'!B:B,$E$25)+SUMIFS('4. Equipment Costs'!H:H,'4. Equipment Costs'!C:C,B44,'4. Equipment Costs'!B:B,$E$25)+SUMIFS('5. Subcontracting Costs'!H:H,'5. Subcontracting Costs'!C:C,B44,'5. Subcontracting Costs'!B:B,$E$25)</f>
        <v>0</v>
      </c>
      <c r="F44" s="54">
        <f>SUMIFS('1. Staff costs'!S:S,'1. Staff costs'!C:C,B44,'1. Staff costs'!B:B,$B$8)+SUMIFS('2-3. Travel Costs&amp;Costs of Stay'!N:N,'2-3. Travel Costs&amp;Costs of Stay'!C:C,B44,'2-3. Travel Costs&amp;Costs of Stay'!B:B,$B$8)+SUMIFS('4. Equipment Costs'!H:H,'4. Equipment Costs'!C:C,B44,'4. Equipment Costs'!B:B,$B$8)+SUMIFS('5. Subcontracting Costs'!H:H,'5. Subcontracting Costs'!C:C,B44,'5. Subcontracting Costs'!B:B,$B$8)</f>
        <v>0</v>
      </c>
      <c r="G44" s="54">
        <f>SUMIFS('1. Staff costs'!S:S,'1. Staff costs'!C:C,B44,'1. Staff costs'!B:B,$G$25)+SUMIFS('2-3. Travel Costs&amp;Costs of Stay'!N:N,'2-3. Travel Costs&amp;Costs of Stay'!C:C,B44,'2-3. Travel Costs&amp;Costs of Stay'!B:B,$G$25)+SUMIFS('4. Equipment Costs'!H:H,'4. Equipment Costs'!C:C,B44,'4. Equipment Costs'!B:B,$G$25)+SUMIFS('5. Subcontracting Costs'!H:H,'5. Subcontracting Costs'!C:C,B44,'5. Subcontracting Costs'!B:B,$G$25)</f>
        <v>0</v>
      </c>
      <c r="H44" s="61">
        <f>SUMIF('B. Special Mob Strand - Student'!B:B,B44,'B. Special Mob Strand - Student'!N:N)+SUMIF('B. Special Mob Strand - Staff'!B:B,B44,'B. Special Mob Strand - Staff'!N:N)</f>
        <v>0</v>
      </c>
      <c r="I44" s="64">
        <f t="shared" si="4"/>
        <v>0</v>
      </c>
    </row>
    <row r="45" spans="2:9" x14ac:dyDescent="0.35">
      <c r="B45" s="15" t="s">
        <v>27</v>
      </c>
      <c r="C45" s="54">
        <f>SUMIFS('1. Staff costs'!S:S,'1. Staff costs'!C:C,B45,'1. Staff costs'!B:B,$C$25)+SUMIFS('2-3. Travel Costs&amp;Costs of Stay'!N:N,'2-3. Travel Costs&amp;Costs of Stay'!C:C,B45,'2-3. Travel Costs&amp;Costs of Stay'!B:B,$C$25)+SUMIFS('4. Equipment Costs'!H:H,'4. Equipment Costs'!C:C,B45,'4. Equipment Costs'!B:B,$C$25)+SUMIFS('5. Subcontracting Costs'!H:H,'5. Subcontracting Costs'!C:C,B45,'5. Subcontracting Costs'!B:B,$C$25)</f>
        <v>0</v>
      </c>
      <c r="D45" s="54">
        <f>SUMIFS('1. Staff costs'!S:S,'1. Staff costs'!C:C,B45,'1. Staff costs'!B:B,$D$25)+SUMIFS('2-3. Travel Costs&amp;Costs of Stay'!N:N,'2-3. Travel Costs&amp;Costs of Stay'!C:C,B45,'2-3. Travel Costs&amp;Costs of Stay'!B:B,$D$25)+SUMIFS('4. Equipment Costs'!H:H,'4. Equipment Costs'!C:C,B45,'4. Equipment Costs'!B:B,$D$25)+SUMIFS('5. Subcontracting Costs'!H:H,'5. Subcontracting Costs'!C:C,B45,'5. Subcontracting Costs'!B:B,$D$25)</f>
        <v>0</v>
      </c>
      <c r="E45" s="54">
        <f>SUMIFS('1. Staff costs'!S:S,'1. Staff costs'!C:C,B45,'1. Staff costs'!B:B,$E$25)+SUMIFS('2-3. Travel Costs&amp;Costs of Stay'!N:N,'2-3. Travel Costs&amp;Costs of Stay'!C:C,B45,'2-3. Travel Costs&amp;Costs of Stay'!B:B,$E$25)+SUMIFS('4. Equipment Costs'!H:H,'4. Equipment Costs'!C:C,B45,'4. Equipment Costs'!B:B,$E$25)+SUMIFS('5. Subcontracting Costs'!H:H,'5. Subcontracting Costs'!C:C,B45,'5. Subcontracting Costs'!B:B,$E$25)</f>
        <v>0</v>
      </c>
      <c r="F45" s="54">
        <f>SUMIFS('1. Staff costs'!S:S,'1. Staff costs'!C:C,B45,'1. Staff costs'!B:B,$B$8)+SUMIFS('2-3. Travel Costs&amp;Costs of Stay'!N:N,'2-3. Travel Costs&amp;Costs of Stay'!C:C,B45,'2-3. Travel Costs&amp;Costs of Stay'!B:B,$B$8)+SUMIFS('4. Equipment Costs'!H:H,'4. Equipment Costs'!C:C,B45,'4. Equipment Costs'!B:B,$B$8)+SUMIFS('5. Subcontracting Costs'!H:H,'5. Subcontracting Costs'!C:C,B45,'5. Subcontracting Costs'!B:B,$B$8)</f>
        <v>0</v>
      </c>
      <c r="G45" s="54">
        <f>SUMIFS('1. Staff costs'!S:S,'1. Staff costs'!C:C,B45,'1. Staff costs'!B:B,$G$25)+SUMIFS('2-3. Travel Costs&amp;Costs of Stay'!N:N,'2-3. Travel Costs&amp;Costs of Stay'!C:C,B45,'2-3. Travel Costs&amp;Costs of Stay'!B:B,$G$25)+SUMIFS('4. Equipment Costs'!H:H,'4. Equipment Costs'!C:C,B45,'4. Equipment Costs'!B:B,$G$25)+SUMIFS('5. Subcontracting Costs'!H:H,'5. Subcontracting Costs'!C:C,B45,'5. Subcontracting Costs'!B:B,$G$25)</f>
        <v>0</v>
      </c>
      <c r="H45" s="61">
        <f>SUMIF('B. Special Mob Strand - Student'!B:B,B45,'B. Special Mob Strand - Student'!N:N)+SUMIF('B. Special Mob Strand - Staff'!B:B,B45,'B. Special Mob Strand - Staff'!N:N)</f>
        <v>0</v>
      </c>
      <c r="I45" s="64">
        <f t="shared" si="4"/>
        <v>0</v>
      </c>
    </row>
    <row r="46" spans="2:9" x14ac:dyDescent="0.35">
      <c r="B46" s="15" t="s">
        <v>112</v>
      </c>
      <c r="C46" s="54">
        <f>SUMIFS('1. Staff costs'!S:S,'1. Staff costs'!C:C,B46,'1. Staff costs'!B:B,$C$25)+SUMIFS('2-3. Travel Costs&amp;Costs of Stay'!N:N,'2-3. Travel Costs&amp;Costs of Stay'!C:C,B46,'2-3. Travel Costs&amp;Costs of Stay'!B:B,$C$25)+SUMIFS('4. Equipment Costs'!H:H,'4. Equipment Costs'!C:C,B46,'4. Equipment Costs'!B:B,$C$25)+SUMIFS('5. Subcontracting Costs'!H:H,'5. Subcontracting Costs'!C:C,B46,'5. Subcontracting Costs'!B:B,$C$25)</f>
        <v>0</v>
      </c>
      <c r="D46" s="54">
        <f>SUMIFS('1. Staff costs'!S:S,'1. Staff costs'!C:C,B46,'1. Staff costs'!B:B,$D$25)+SUMIFS('2-3. Travel Costs&amp;Costs of Stay'!N:N,'2-3. Travel Costs&amp;Costs of Stay'!C:C,B46,'2-3. Travel Costs&amp;Costs of Stay'!B:B,$D$25)+SUMIFS('4. Equipment Costs'!H:H,'4. Equipment Costs'!C:C,B46,'4. Equipment Costs'!B:B,$D$25)+SUMIFS('5. Subcontracting Costs'!H:H,'5. Subcontracting Costs'!C:C,B46,'5. Subcontracting Costs'!B:B,$D$25)</f>
        <v>0</v>
      </c>
      <c r="E46" s="54">
        <f>SUMIFS('1. Staff costs'!S:S,'1. Staff costs'!C:C,B46,'1. Staff costs'!B:B,$E$25)+SUMIFS('2-3. Travel Costs&amp;Costs of Stay'!N:N,'2-3. Travel Costs&amp;Costs of Stay'!C:C,B46,'2-3. Travel Costs&amp;Costs of Stay'!B:B,$E$25)+SUMIFS('4. Equipment Costs'!H:H,'4. Equipment Costs'!C:C,B46,'4. Equipment Costs'!B:B,$E$25)+SUMIFS('5. Subcontracting Costs'!H:H,'5. Subcontracting Costs'!C:C,B46,'5. Subcontracting Costs'!B:B,$E$25)</f>
        <v>0</v>
      </c>
      <c r="F46" s="54">
        <f>SUMIFS('1. Staff costs'!S:S,'1. Staff costs'!C:C,B46,'1. Staff costs'!B:B,$B$8)+SUMIFS('2-3. Travel Costs&amp;Costs of Stay'!N:N,'2-3. Travel Costs&amp;Costs of Stay'!C:C,B46,'2-3. Travel Costs&amp;Costs of Stay'!B:B,$B$8)+SUMIFS('4. Equipment Costs'!H:H,'4. Equipment Costs'!C:C,B46,'4. Equipment Costs'!B:B,$B$8)+SUMIFS('5. Subcontracting Costs'!H:H,'5. Subcontracting Costs'!C:C,B46,'5. Subcontracting Costs'!B:B,$B$8)</f>
        <v>0</v>
      </c>
      <c r="G46" s="54">
        <f>SUMIFS('1. Staff costs'!S:S,'1. Staff costs'!C:C,B46,'1. Staff costs'!B:B,$G$25)+SUMIFS('2-3. Travel Costs&amp;Costs of Stay'!N:N,'2-3. Travel Costs&amp;Costs of Stay'!C:C,B46,'2-3. Travel Costs&amp;Costs of Stay'!B:B,$G$25)+SUMIFS('4. Equipment Costs'!H:H,'4. Equipment Costs'!C:C,B46,'4. Equipment Costs'!B:B,$G$25)+SUMIFS('5. Subcontracting Costs'!H:H,'5. Subcontracting Costs'!C:C,B46,'5. Subcontracting Costs'!B:B,$G$25)</f>
        <v>0</v>
      </c>
      <c r="H46" s="61">
        <f>SUMIF('B. Special Mob Strand - Student'!B:B,B46,'B. Special Mob Strand - Student'!N:N)+SUMIF('B. Special Mob Strand - Staff'!B:B,B46,'B. Special Mob Strand - Staff'!N:N)</f>
        <v>0</v>
      </c>
      <c r="I46" s="64">
        <f t="shared" si="4"/>
        <v>0</v>
      </c>
    </row>
    <row r="47" spans="2:9" x14ac:dyDescent="0.35">
      <c r="B47" s="15" t="s">
        <v>113</v>
      </c>
      <c r="C47" s="54">
        <f>SUMIFS('1. Staff costs'!S:S,'1. Staff costs'!C:C,B47,'1. Staff costs'!B:B,$C$25)+SUMIFS('2-3. Travel Costs&amp;Costs of Stay'!N:N,'2-3. Travel Costs&amp;Costs of Stay'!C:C,B47,'2-3. Travel Costs&amp;Costs of Stay'!B:B,$C$25)+SUMIFS('4. Equipment Costs'!H:H,'4. Equipment Costs'!C:C,B47,'4. Equipment Costs'!B:B,$C$25)+SUMIFS('5. Subcontracting Costs'!H:H,'5. Subcontracting Costs'!C:C,B47,'5. Subcontracting Costs'!B:B,$C$25)</f>
        <v>0</v>
      </c>
      <c r="D47" s="54">
        <f>SUMIFS('1. Staff costs'!S:S,'1. Staff costs'!C:C,B47,'1. Staff costs'!B:B,$D$25)+SUMIFS('2-3. Travel Costs&amp;Costs of Stay'!N:N,'2-3. Travel Costs&amp;Costs of Stay'!C:C,B47,'2-3. Travel Costs&amp;Costs of Stay'!B:B,$D$25)+SUMIFS('4. Equipment Costs'!H:H,'4. Equipment Costs'!C:C,B47,'4. Equipment Costs'!B:B,$D$25)+SUMIFS('5. Subcontracting Costs'!H:H,'5. Subcontracting Costs'!C:C,B47,'5. Subcontracting Costs'!B:B,$D$25)</f>
        <v>0</v>
      </c>
      <c r="E47" s="54">
        <f>SUMIFS('1. Staff costs'!S:S,'1. Staff costs'!C:C,B47,'1. Staff costs'!B:B,$E$25)+SUMIFS('2-3. Travel Costs&amp;Costs of Stay'!N:N,'2-3. Travel Costs&amp;Costs of Stay'!C:C,B47,'2-3. Travel Costs&amp;Costs of Stay'!B:B,$E$25)+SUMIFS('4. Equipment Costs'!H:H,'4. Equipment Costs'!C:C,B47,'4. Equipment Costs'!B:B,$E$25)+SUMIFS('5. Subcontracting Costs'!H:H,'5. Subcontracting Costs'!C:C,B47,'5. Subcontracting Costs'!B:B,$E$25)</f>
        <v>0</v>
      </c>
      <c r="F47" s="54">
        <f>SUMIFS('1. Staff costs'!S:S,'1. Staff costs'!C:C,B47,'1. Staff costs'!B:B,$B$8)+SUMIFS('2-3. Travel Costs&amp;Costs of Stay'!N:N,'2-3. Travel Costs&amp;Costs of Stay'!C:C,B47,'2-3. Travel Costs&amp;Costs of Stay'!B:B,$B$8)+SUMIFS('4. Equipment Costs'!H:H,'4. Equipment Costs'!C:C,B47,'4. Equipment Costs'!B:B,$B$8)+SUMIFS('5. Subcontracting Costs'!H:H,'5. Subcontracting Costs'!C:C,B47,'5. Subcontracting Costs'!B:B,$B$8)</f>
        <v>0</v>
      </c>
      <c r="G47" s="54">
        <f>SUMIFS('1. Staff costs'!S:S,'1. Staff costs'!C:C,B47,'1. Staff costs'!B:B,$G$25)+SUMIFS('2-3. Travel Costs&amp;Costs of Stay'!N:N,'2-3. Travel Costs&amp;Costs of Stay'!C:C,B47,'2-3. Travel Costs&amp;Costs of Stay'!B:B,$G$25)+SUMIFS('4. Equipment Costs'!H:H,'4. Equipment Costs'!C:C,B47,'4. Equipment Costs'!B:B,$G$25)+SUMIFS('5. Subcontracting Costs'!H:H,'5. Subcontracting Costs'!C:C,B47,'5. Subcontracting Costs'!B:B,$G$25)</f>
        <v>0</v>
      </c>
      <c r="H47" s="61">
        <f>SUMIF('B. Special Mob Strand - Student'!B:B,B47,'B. Special Mob Strand - Student'!N:N)+SUMIF('B. Special Mob Strand - Staff'!B:B,B47,'B. Special Mob Strand - Staff'!N:N)</f>
        <v>0</v>
      </c>
      <c r="I47" s="64">
        <f t="shared" si="4"/>
        <v>0</v>
      </c>
    </row>
    <row r="48" spans="2:9" x14ac:dyDescent="0.35">
      <c r="B48" s="15" t="s">
        <v>114</v>
      </c>
      <c r="C48" s="54">
        <f>SUMIFS('1. Staff costs'!S:S,'1. Staff costs'!C:C,B48,'1. Staff costs'!B:B,$C$25)+SUMIFS('2-3. Travel Costs&amp;Costs of Stay'!N:N,'2-3. Travel Costs&amp;Costs of Stay'!C:C,B48,'2-3. Travel Costs&amp;Costs of Stay'!B:B,$C$25)+SUMIFS('4. Equipment Costs'!H:H,'4. Equipment Costs'!C:C,B48,'4. Equipment Costs'!B:B,$C$25)+SUMIFS('5. Subcontracting Costs'!H:H,'5. Subcontracting Costs'!C:C,B48,'5. Subcontracting Costs'!B:B,$C$25)</f>
        <v>0</v>
      </c>
      <c r="D48" s="54">
        <f>SUMIFS('1. Staff costs'!S:S,'1. Staff costs'!C:C,B48,'1. Staff costs'!B:B,$D$25)+SUMIFS('2-3. Travel Costs&amp;Costs of Stay'!N:N,'2-3. Travel Costs&amp;Costs of Stay'!C:C,B48,'2-3. Travel Costs&amp;Costs of Stay'!B:B,$D$25)+SUMIFS('4. Equipment Costs'!H:H,'4. Equipment Costs'!C:C,B48,'4. Equipment Costs'!B:B,$D$25)+SUMIFS('5. Subcontracting Costs'!H:H,'5. Subcontracting Costs'!C:C,B48,'5. Subcontracting Costs'!B:B,$D$25)</f>
        <v>0</v>
      </c>
      <c r="E48" s="54">
        <f>SUMIFS('1. Staff costs'!S:S,'1. Staff costs'!C:C,B48,'1. Staff costs'!B:B,$E$25)+SUMIFS('2-3. Travel Costs&amp;Costs of Stay'!N:N,'2-3. Travel Costs&amp;Costs of Stay'!C:C,B48,'2-3. Travel Costs&amp;Costs of Stay'!B:B,$E$25)+SUMIFS('4. Equipment Costs'!H:H,'4. Equipment Costs'!C:C,B48,'4. Equipment Costs'!B:B,$E$25)+SUMIFS('5. Subcontracting Costs'!H:H,'5. Subcontracting Costs'!C:C,B48,'5. Subcontracting Costs'!B:B,$E$25)</f>
        <v>0</v>
      </c>
      <c r="F48" s="54">
        <f>SUMIFS('1. Staff costs'!S:S,'1. Staff costs'!C:C,B48,'1. Staff costs'!B:B,$B$8)+SUMIFS('2-3. Travel Costs&amp;Costs of Stay'!N:N,'2-3. Travel Costs&amp;Costs of Stay'!C:C,B48,'2-3. Travel Costs&amp;Costs of Stay'!B:B,$B$8)+SUMIFS('4. Equipment Costs'!H:H,'4. Equipment Costs'!C:C,B48,'4. Equipment Costs'!B:B,$B$8)+SUMIFS('5. Subcontracting Costs'!H:H,'5. Subcontracting Costs'!C:C,B48,'5. Subcontracting Costs'!B:B,$B$8)</f>
        <v>0</v>
      </c>
      <c r="G48" s="54">
        <f>SUMIFS('1. Staff costs'!S:S,'1. Staff costs'!C:C,B48,'1. Staff costs'!B:B,$G$25)+SUMIFS('2-3. Travel Costs&amp;Costs of Stay'!N:N,'2-3. Travel Costs&amp;Costs of Stay'!C:C,B48,'2-3. Travel Costs&amp;Costs of Stay'!B:B,$G$25)+SUMIFS('4. Equipment Costs'!H:H,'4. Equipment Costs'!C:C,B48,'4. Equipment Costs'!B:B,$G$25)+SUMIFS('5. Subcontracting Costs'!H:H,'5. Subcontracting Costs'!C:C,B48,'5. Subcontracting Costs'!B:B,$G$25)</f>
        <v>0</v>
      </c>
      <c r="H48" s="61">
        <f>SUMIF('B. Special Mob Strand - Student'!B:B,B48,'B. Special Mob Strand - Student'!N:N)+SUMIF('B. Special Mob Strand - Staff'!B:B,B48,'B. Special Mob Strand - Staff'!N:N)</f>
        <v>0</v>
      </c>
      <c r="I48" s="64">
        <f t="shared" si="4"/>
        <v>0</v>
      </c>
    </row>
    <row r="49" spans="2:9" x14ac:dyDescent="0.35">
      <c r="B49" s="15" t="s">
        <v>115</v>
      </c>
      <c r="C49" s="54">
        <f>SUMIFS('1. Staff costs'!S:S,'1. Staff costs'!C:C,B49,'1. Staff costs'!B:B,$C$25)+SUMIFS('2-3. Travel Costs&amp;Costs of Stay'!N:N,'2-3. Travel Costs&amp;Costs of Stay'!C:C,B49,'2-3. Travel Costs&amp;Costs of Stay'!B:B,$C$25)+SUMIFS('4. Equipment Costs'!H:H,'4. Equipment Costs'!C:C,B49,'4. Equipment Costs'!B:B,$C$25)+SUMIFS('5. Subcontracting Costs'!H:H,'5. Subcontracting Costs'!C:C,B49,'5. Subcontracting Costs'!B:B,$C$25)</f>
        <v>0</v>
      </c>
      <c r="D49" s="54">
        <f>SUMIFS('1. Staff costs'!S:S,'1. Staff costs'!C:C,B49,'1. Staff costs'!B:B,$D$25)+SUMIFS('2-3. Travel Costs&amp;Costs of Stay'!N:N,'2-3. Travel Costs&amp;Costs of Stay'!C:C,B49,'2-3. Travel Costs&amp;Costs of Stay'!B:B,$D$25)+SUMIFS('4. Equipment Costs'!H:H,'4. Equipment Costs'!C:C,B49,'4. Equipment Costs'!B:B,$D$25)+SUMIFS('5. Subcontracting Costs'!H:H,'5. Subcontracting Costs'!C:C,B49,'5. Subcontracting Costs'!B:B,$D$25)</f>
        <v>0</v>
      </c>
      <c r="E49" s="54">
        <f>SUMIFS('1. Staff costs'!S:S,'1. Staff costs'!C:C,B49,'1. Staff costs'!B:B,$E$25)+SUMIFS('2-3. Travel Costs&amp;Costs of Stay'!N:N,'2-3. Travel Costs&amp;Costs of Stay'!C:C,B49,'2-3. Travel Costs&amp;Costs of Stay'!B:B,$E$25)+SUMIFS('4. Equipment Costs'!H:H,'4. Equipment Costs'!C:C,B49,'4. Equipment Costs'!B:B,$E$25)+SUMIFS('5. Subcontracting Costs'!H:H,'5. Subcontracting Costs'!C:C,B49,'5. Subcontracting Costs'!B:B,$E$25)</f>
        <v>0</v>
      </c>
      <c r="F49" s="54">
        <f>SUMIFS('1. Staff costs'!S:S,'1. Staff costs'!C:C,B49,'1. Staff costs'!B:B,$B$8)+SUMIFS('2-3. Travel Costs&amp;Costs of Stay'!N:N,'2-3. Travel Costs&amp;Costs of Stay'!C:C,B49,'2-3. Travel Costs&amp;Costs of Stay'!B:B,$B$8)+SUMIFS('4. Equipment Costs'!H:H,'4. Equipment Costs'!C:C,B49,'4. Equipment Costs'!B:B,$B$8)+SUMIFS('5. Subcontracting Costs'!H:H,'5. Subcontracting Costs'!C:C,B49,'5. Subcontracting Costs'!B:B,$B$8)</f>
        <v>0</v>
      </c>
      <c r="G49" s="54">
        <f>SUMIFS('1. Staff costs'!S:S,'1. Staff costs'!C:C,B49,'1. Staff costs'!B:B,$G$25)+SUMIFS('2-3. Travel Costs&amp;Costs of Stay'!N:N,'2-3. Travel Costs&amp;Costs of Stay'!C:C,B49,'2-3. Travel Costs&amp;Costs of Stay'!B:B,$G$25)+SUMIFS('4. Equipment Costs'!H:H,'4. Equipment Costs'!C:C,B49,'4. Equipment Costs'!B:B,$G$25)+SUMIFS('5. Subcontracting Costs'!H:H,'5. Subcontracting Costs'!C:C,B49,'5. Subcontracting Costs'!B:B,$G$25)</f>
        <v>0</v>
      </c>
      <c r="H49" s="61">
        <f>SUMIF('B. Special Mob Strand - Student'!B:B,B49,'B. Special Mob Strand - Student'!N:N)+SUMIF('B. Special Mob Strand - Staff'!B:B,B49,'B. Special Mob Strand - Staff'!N:N)</f>
        <v>0</v>
      </c>
      <c r="I49" s="64">
        <f t="shared" si="4"/>
        <v>0</v>
      </c>
    </row>
    <row r="50" spans="2:9" x14ac:dyDescent="0.35">
      <c r="B50" s="15" t="s">
        <v>116</v>
      </c>
      <c r="C50" s="54">
        <f>SUMIFS('1. Staff costs'!S:S,'1. Staff costs'!C:C,B50,'1. Staff costs'!B:B,$C$25)+SUMIFS('2-3. Travel Costs&amp;Costs of Stay'!N:N,'2-3. Travel Costs&amp;Costs of Stay'!C:C,B50,'2-3. Travel Costs&amp;Costs of Stay'!B:B,$C$25)+SUMIFS('4. Equipment Costs'!H:H,'4. Equipment Costs'!C:C,B50,'4. Equipment Costs'!B:B,$C$25)+SUMIFS('5. Subcontracting Costs'!H:H,'5. Subcontracting Costs'!C:C,B50,'5. Subcontracting Costs'!B:B,$C$25)</f>
        <v>0</v>
      </c>
      <c r="D50" s="54">
        <f>SUMIFS('1. Staff costs'!S:S,'1. Staff costs'!C:C,B50,'1. Staff costs'!B:B,$D$25)+SUMIFS('2-3. Travel Costs&amp;Costs of Stay'!N:N,'2-3. Travel Costs&amp;Costs of Stay'!C:C,B50,'2-3. Travel Costs&amp;Costs of Stay'!B:B,$D$25)+SUMIFS('4. Equipment Costs'!H:H,'4. Equipment Costs'!C:C,B50,'4. Equipment Costs'!B:B,$D$25)+SUMIFS('5. Subcontracting Costs'!H:H,'5. Subcontracting Costs'!C:C,B50,'5. Subcontracting Costs'!B:B,$D$25)</f>
        <v>0</v>
      </c>
      <c r="E50" s="54">
        <f>SUMIFS('1. Staff costs'!S:S,'1. Staff costs'!C:C,B50,'1. Staff costs'!B:B,$E$25)+SUMIFS('2-3. Travel Costs&amp;Costs of Stay'!N:N,'2-3. Travel Costs&amp;Costs of Stay'!C:C,B50,'2-3. Travel Costs&amp;Costs of Stay'!B:B,$E$25)+SUMIFS('4. Equipment Costs'!H:H,'4. Equipment Costs'!C:C,B50,'4. Equipment Costs'!B:B,$E$25)+SUMIFS('5. Subcontracting Costs'!H:H,'5. Subcontracting Costs'!C:C,B50,'5. Subcontracting Costs'!B:B,$E$25)</f>
        <v>0</v>
      </c>
      <c r="F50" s="54">
        <f>SUMIFS('1. Staff costs'!S:S,'1. Staff costs'!C:C,B50,'1. Staff costs'!B:B,$B$8)+SUMIFS('2-3. Travel Costs&amp;Costs of Stay'!N:N,'2-3. Travel Costs&amp;Costs of Stay'!C:C,B50,'2-3. Travel Costs&amp;Costs of Stay'!B:B,$B$8)+SUMIFS('4. Equipment Costs'!H:H,'4. Equipment Costs'!C:C,B50,'4. Equipment Costs'!B:B,$B$8)+SUMIFS('5. Subcontracting Costs'!H:H,'5. Subcontracting Costs'!C:C,B50,'5. Subcontracting Costs'!B:B,$B$8)</f>
        <v>0</v>
      </c>
      <c r="G50" s="54">
        <f>SUMIFS('1. Staff costs'!S:S,'1. Staff costs'!C:C,B50,'1. Staff costs'!B:B,$G$25)+SUMIFS('2-3. Travel Costs&amp;Costs of Stay'!N:N,'2-3. Travel Costs&amp;Costs of Stay'!C:C,B50,'2-3. Travel Costs&amp;Costs of Stay'!B:B,$G$25)+SUMIFS('4. Equipment Costs'!H:H,'4. Equipment Costs'!C:C,B50,'4. Equipment Costs'!B:B,$G$25)+SUMIFS('5. Subcontracting Costs'!H:H,'5. Subcontracting Costs'!C:C,B50,'5. Subcontracting Costs'!B:B,$G$25)</f>
        <v>0</v>
      </c>
      <c r="H50" s="61">
        <f>SUMIF('B. Special Mob Strand - Student'!B:B,B50,'B. Special Mob Strand - Student'!N:N)+SUMIF('B. Special Mob Strand - Staff'!B:B,B50,'B. Special Mob Strand - Staff'!N:N)</f>
        <v>0</v>
      </c>
      <c r="I50" s="64">
        <f t="shared" si="4"/>
        <v>0</v>
      </c>
    </row>
    <row r="51" spans="2:9" x14ac:dyDescent="0.35">
      <c r="B51" s="15" t="s">
        <v>117</v>
      </c>
      <c r="C51" s="54">
        <f>SUMIFS('1. Staff costs'!S:S,'1. Staff costs'!C:C,B51,'1. Staff costs'!B:B,$C$25)+SUMIFS('2-3. Travel Costs&amp;Costs of Stay'!N:N,'2-3. Travel Costs&amp;Costs of Stay'!C:C,B51,'2-3. Travel Costs&amp;Costs of Stay'!B:B,$C$25)+SUMIFS('4. Equipment Costs'!H:H,'4. Equipment Costs'!C:C,B51,'4. Equipment Costs'!B:B,$C$25)+SUMIFS('5. Subcontracting Costs'!H:H,'5. Subcontracting Costs'!C:C,B51,'5. Subcontracting Costs'!B:B,$C$25)</f>
        <v>0</v>
      </c>
      <c r="D51" s="54">
        <f>SUMIFS('1. Staff costs'!S:S,'1. Staff costs'!C:C,B51,'1. Staff costs'!B:B,$D$25)+SUMIFS('2-3. Travel Costs&amp;Costs of Stay'!N:N,'2-3. Travel Costs&amp;Costs of Stay'!C:C,B51,'2-3. Travel Costs&amp;Costs of Stay'!B:B,$D$25)+SUMIFS('4. Equipment Costs'!H:H,'4. Equipment Costs'!C:C,B51,'4. Equipment Costs'!B:B,$D$25)+SUMIFS('5. Subcontracting Costs'!H:H,'5. Subcontracting Costs'!C:C,B51,'5. Subcontracting Costs'!B:B,$D$25)</f>
        <v>0</v>
      </c>
      <c r="E51" s="54">
        <f>SUMIFS('1. Staff costs'!S:S,'1. Staff costs'!C:C,B51,'1. Staff costs'!B:B,$E$25)+SUMIFS('2-3. Travel Costs&amp;Costs of Stay'!N:N,'2-3. Travel Costs&amp;Costs of Stay'!C:C,B51,'2-3. Travel Costs&amp;Costs of Stay'!B:B,$E$25)+SUMIFS('4. Equipment Costs'!H:H,'4. Equipment Costs'!C:C,B51,'4. Equipment Costs'!B:B,$E$25)+SUMIFS('5. Subcontracting Costs'!H:H,'5. Subcontracting Costs'!C:C,B51,'5. Subcontracting Costs'!B:B,$E$25)</f>
        <v>0</v>
      </c>
      <c r="F51" s="54">
        <f>SUMIFS('1. Staff costs'!S:S,'1. Staff costs'!C:C,B51,'1. Staff costs'!B:B,$B$8)+SUMIFS('2-3. Travel Costs&amp;Costs of Stay'!N:N,'2-3. Travel Costs&amp;Costs of Stay'!C:C,B51,'2-3. Travel Costs&amp;Costs of Stay'!B:B,$B$8)+SUMIFS('4. Equipment Costs'!H:H,'4. Equipment Costs'!C:C,B51,'4. Equipment Costs'!B:B,$B$8)+SUMIFS('5. Subcontracting Costs'!H:H,'5. Subcontracting Costs'!C:C,B51,'5. Subcontracting Costs'!B:B,$B$8)</f>
        <v>0</v>
      </c>
      <c r="G51" s="54">
        <f>SUMIFS('1. Staff costs'!S:S,'1. Staff costs'!C:C,B51,'1. Staff costs'!B:B,$G$25)+SUMIFS('2-3. Travel Costs&amp;Costs of Stay'!N:N,'2-3. Travel Costs&amp;Costs of Stay'!C:C,B51,'2-3. Travel Costs&amp;Costs of Stay'!B:B,$G$25)+SUMIFS('4. Equipment Costs'!H:H,'4. Equipment Costs'!C:C,B51,'4. Equipment Costs'!B:B,$G$25)+SUMIFS('5. Subcontracting Costs'!H:H,'5. Subcontracting Costs'!C:C,B51,'5. Subcontracting Costs'!B:B,$G$25)</f>
        <v>0</v>
      </c>
      <c r="H51" s="61">
        <f>SUMIF('B. Special Mob Strand - Student'!B:B,B51,'B. Special Mob Strand - Student'!N:N)+SUMIF('B. Special Mob Strand - Staff'!B:B,B51,'B. Special Mob Strand - Staff'!N:N)</f>
        <v>0</v>
      </c>
      <c r="I51" s="64">
        <f t="shared" si="4"/>
        <v>0</v>
      </c>
    </row>
    <row r="52" spans="2:9" x14ac:dyDescent="0.35">
      <c r="B52" s="15" t="s">
        <v>118</v>
      </c>
      <c r="C52" s="54">
        <f>SUMIFS('1. Staff costs'!S:S,'1. Staff costs'!C:C,B52,'1. Staff costs'!B:B,$C$25)+SUMIFS('2-3. Travel Costs&amp;Costs of Stay'!N:N,'2-3. Travel Costs&amp;Costs of Stay'!C:C,B52,'2-3. Travel Costs&amp;Costs of Stay'!B:B,$C$25)+SUMIFS('4. Equipment Costs'!H:H,'4. Equipment Costs'!C:C,B52,'4. Equipment Costs'!B:B,$C$25)+SUMIFS('5. Subcontracting Costs'!H:H,'5. Subcontracting Costs'!C:C,B52,'5. Subcontracting Costs'!B:B,$C$25)</f>
        <v>0</v>
      </c>
      <c r="D52" s="54">
        <f>SUMIFS('1. Staff costs'!S:S,'1. Staff costs'!C:C,B52,'1. Staff costs'!B:B,$D$25)+SUMIFS('2-3. Travel Costs&amp;Costs of Stay'!N:N,'2-3. Travel Costs&amp;Costs of Stay'!C:C,B52,'2-3. Travel Costs&amp;Costs of Stay'!B:B,$D$25)+SUMIFS('4. Equipment Costs'!H:H,'4. Equipment Costs'!C:C,B52,'4. Equipment Costs'!B:B,$D$25)+SUMIFS('5. Subcontracting Costs'!H:H,'5. Subcontracting Costs'!C:C,B52,'5. Subcontracting Costs'!B:B,$D$25)</f>
        <v>0</v>
      </c>
      <c r="E52" s="54">
        <f>SUMIFS('1. Staff costs'!S:S,'1. Staff costs'!C:C,B52,'1. Staff costs'!B:B,$E$25)+SUMIFS('2-3. Travel Costs&amp;Costs of Stay'!N:N,'2-3. Travel Costs&amp;Costs of Stay'!C:C,B52,'2-3. Travel Costs&amp;Costs of Stay'!B:B,$E$25)+SUMIFS('4. Equipment Costs'!H:H,'4. Equipment Costs'!C:C,B52,'4. Equipment Costs'!B:B,$E$25)+SUMIFS('5. Subcontracting Costs'!H:H,'5. Subcontracting Costs'!C:C,B52,'5. Subcontracting Costs'!B:B,$E$25)</f>
        <v>0</v>
      </c>
      <c r="F52" s="54">
        <f>SUMIFS('1. Staff costs'!S:S,'1. Staff costs'!C:C,B52,'1. Staff costs'!B:B,$B$8)+SUMIFS('2-3. Travel Costs&amp;Costs of Stay'!N:N,'2-3. Travel Costs&amp;Costs of Stay'!C:C,B52,'2-3. Travel Costs&amp;Costs of Stay'!B:B,$B$8)+SUMIFS('4. Equipment Costs'!H:H,'4. Equipment Costs'!C:C,B52,'4. Equipment Costs'!B:B,$B$8)+SUMIFS('5. Subcontracting Costs'!H:H,'5. Subcontracting Costs'!C:C,B52,'5. Subcontracting Costs'!B:B,$B$8)</f>
        <v>0</v>
      </c>
      <c r="G52" s="54">
        <f>SUMIFS('1. Staff costs'!S:S,'1. Staff costs'!C:C,B52,'1. Staff costs'!B:B,$G$25)+SUMIFS('2-3. Travel Costs&amp;Costs of Stay'!N:N,'2-3. Travel Costs&amp;Costs of Stay'!C:C,B52,'2-3. Travel Costs&amp;Costs of Stay'!B:B,$G$25)+SUMIFS('4. Equipment Costs'!H:H,'4. Equipment Costs'!C:C,B52,'4. Equipment Costs'!B:B,$G$25)+SUMIFS('5. Subcontracting Costs'!H:H,'5. Subcontracting Costs'!C:C,B52,'5. Subcontracting Costs'!B:B,$G$25)</f>
        <v>0</v>
      </c>
      <c r="H52" s="61">
        <f>SUMIF('B. Special Mob Strand - Student'!B:B,B52,'B. Special Mob Strand - Student'!N:N)+SUMIF('B. Special Mob Strand - Staff'!B:B,B52,'B. Special Mob Strand - Staff'!N:N)</f>
        <v>0</v>
      </c>
      <c r="I52" s="64">
        <f t="shared" si="4"/>
        <v>0</v>
      </c>
    </row>
    <row r="53" spans="2:9" x14ac:dyDescent="0.35">
      <c r="B53" s="15" t="s">
        <v>119</v>
      </c>
      <c r="C53" s="54">
        <f>SUMIFS('1. Staff costs'!S:S,'1. Staff costs'!C:C,B53,'1. Staff costs'!B:B,$C$25)+SUMIFS('2-3. Travel Costs&amp;Costs of Stay'!N:N,'2-3. Travel Costs&amp;Costs of Stay'!C:C,B53,'2-3. Travel Costs&amp;Costs of Stay'!B:B,$C$25)+SUMIFS('4. Equipment Costs'!H:H,'4. Equipment Costs'!C:C,B53,'4. Equipment Costs'!B:B,$C$25)+SUMIFS('5. Subcontracting Costs'!H:H,'5. Subcontracting Costs'!C:C,B53,'5. Subcontracting Costs'!B:B,$C$25)</f>
        <v>0</v>
      </c>
      <c r="D53" s="54">
        <f>SUMIFS('1. Staff costs'!S:S,'1. Staff costs'!C:C,B53,'1. Staff costs'!B:B,$D$25)+SUMIFS('2-3. Travel Costs&amp;Costs of Stay'!N:N,'2-3. Travel Costs&amp;Costs of Stay'!C:C,B53,'2-3. Travel Costs&amp;Costs of Stay'!B:B,$D$25)+SUMIFS('4. Equipment Costs'!H:H,'4. Equipment Costs'!C:C,B53,'4. Equipment Costs'!B:B,$D$25)+SUMIFS('5. Subcontracting Costs'!H:H,'5. Subcontracting Costs'!C:C,B53,'5. Subcontracting Costs'!B:B,$D$25)</f>
        <v>0</v>
      </c>
      <c r="E53" s="54">
        <f>SUMIFS('1. Staff costs'!S:S,'1. Staff costs'!C:C,B53,'1. Staff costs'!B:B,$E$25)+SUMIFS('2-3. Travel Costs&amp;Costs of Stay'!N:N,'2-3. Travel Costs&amp;Costs of Stay'!C:C,B53,'2-3. Travel Costs&amp;Costs of Stay'!B:B,$E$25)+SUMIFS('4. Equipment Costs'!H:H,'4. Equipment Costs'!C:C,B53,'4. Equipment Costs'!B:B,$E$25)+SUMIFS('5. Subcontracting Costs'!H:H,'5. Subcontracting Costs'!C:C,B53,'5. Subcontracting Costs'!B:B,$E$25)</f>
        <v>0</v>
      </c>
      <c r="F53" s="54">
        <f>SUMIFS('1. Staff costs'!S:S,'1. Staff costs'!C:C,B53,'1. Staff costs'!B:B,$B$8)+SUMIFS('2-3. Travel Costs&amp;Costs of Stay'!N:N,'2-3. Travel Costs&amp;Costs of Stay'!C:C,B53,'2-3. Travel Costs&amp;Costs of Stay'!B:B,$B$8)+SUMIFS('4. Equipment Costs'!H:H,'4. Equipment Costs'!C:C,B53,'4. Equipment Costs'!B:B,$B$8)+SUMIFS('5. Subcontracting Costs'!H:H,'5. Subcontracting Costs'!C:C,B53,'5. Subcontracting Costs'!B:B,$B$8)</f>
        <v>0</v>
      </c>
      <c r="G53" s="54">
        <f>SUMIFS('1. Staff costs'!S:S,'1. Staff costs'!C:C,B53,'1. Staff costs'!B:B,$G$25)+SUMIFS('2-3. Travel Costs&amp;Costs of Stay'!N:N,'2-3. Travel Costs&amp;Costs of Stay'!C:C,B53,'2-3. Travel Costs&amp;Costs of Stay'!B:B,$G$25)+SUMIFS('4. Equipment Costs'!H:H,'4. Equipment Costs'!C:C,B53,'4. Equipment Costs'!B:B,$G$25)+SUMIFS('5. Subcontracting Costs'!H:H,'5. Subcontracting Costs'!C:C,B53,'5. Subcontracting Costs'!B:B,$G$25)</f>
        <v>0</v>
      </c>
      <c r="H53" s="61">
        <f>SUMIF('B. Special Mob Strand - Student'!B:B,B53,'B. Special Mob Strand - Student'!N:N)+SUMIF('B. Special Mob Strand - Staff'!B:B,B53,'B. Special Mob Strand - Staff'!N:N)</f>
        <v>0</v>
      </c>
      <c r="I53" s="64">
        <f t="shared" si="4"/>
        <v>0</v>
      </c>
    </row>
    <row r="54" spans="2:9" x14ac:dyDescent="0.35">
      <c r="B54" s="15" t="s">
        <v>120</v>
      </c>
      <c r="C54" s="54">
        <f>SUMIFS('1. Staff costs'!S:S,'1. Staff costs'!C:C,B54,'1. Staff costs'!B:B,$C$25)+SUMIFS('2-3. Travel Costs&amp;Costs of Stay'!N:N,'2-3. Travel Costs&amp;Costs of Stay'!C:C,B54,'2-3. Travel Costs&amp;Costs of Stay'!B:B,$C$25)+SUMIFS('4. Equipment Costs'!H:H,'4. Equipment Costs'!C:C,B54,'4. Equipment Costs'!B:B,$C$25)+SUMIFS('5. Subcontracting Costs'!H:H,'5. Subcontracting Costs'!C:C,B54,'5. Subcontracting Costs'!B:B,$C$25)</f>
        <v>0</v>
      </c>
      <c r="D54" s="54">
        <f>SUMIFS('1. Staff costs'!S:S,'1. Staff costs'!C:C,B54,'1. Staff costs'!B:B,$D$25)+SUMIFS('2-3. Travel Costs&amp;Costs of Stay'!N:N,'2-3. Travel Costs&amp;Costs of Stay'!C:C,B54,'2-3. Travel Costs&amp;Costs of Stay'!B:B,$D$25)+SUMIFS('4. Equipment Costs'!H:H,'4. Equipment Costs'!C:C,B54,'4. Equipment Costs'!B:B,$D$25)+SUMIFS('5. Subcontracting Costs'!H:H,'5. Subcontracting Costs'!C:C,B54,'5. Subcontracting Costs'!B:B,$D$25)</f>
        <v>0</v>
      </c>
      <c r="E54" s="54">
        <f>SUMIFS('1. Staff costs'!S:S,'1. Staff costs'!C:C,B54,'1. Staff costs'!B:B,$E$25)+SUMIFS('2-3. Travel Costs&amp;Costs of Stay'!N:N,'2-3. Travel Costs&amp;Costs of Stay'!C:C,B54,'2-3. Travel Costs&amp;Costs of Stay'!B:B,$E$25)+SUMIFS('4. Equipment Costs'!H:H,'4. Equipment Costs'!C:C,B54,'4. Equipment Costs'!B:B,$E$25)+SUMIFS('5. Subcontracting Costs'!H:H,'5. Subcontracting Costs'!C:C,B54,'5. Subcontracting Costs'!B:B,$E$25)</f>
        <v>0</v>
      </c>
      <c r="F54" s="54">
        <f>SUMIFS('1. Staff costs'!S:S,'1. Staff costs'!C:C,B54,'1. Staff costs'!B:B,$B$8)+SUMIFS('2-3. Travel Costs&amp;Costs of Stay'!N:N,'2-3. Travel Costs&amp;Costs of Stay'!C:C,B54,'2-3. Travel Costs&amp;Costs of Stay'!B:B,$B$8)+SUMIFS('4. Equipment Costs'!H:H,'4. Equipment Costs'!C:C,B54,'4. Equipment Costs'!B:B,$B$8)+SUMIFS('5. Subcontracting Costs'!H:H,'5. Subcontracting Costs'!C:C,B54,'5. Subcontracting Costs'!B:B,$B$8)</f>
        <v>0</v>
      </c>
      <c r="G54" s="54">
        <f>SUMIFS('1. Staff costs'!S:S,'1. Staff costs'!C:C,B54,'1. Staff costs'!B:B,$G$25)+SUMIFS('2-3. Travel Costs&amp;Costs of Stay'!N:N,'2-3. Travel Costs&amp;Costs of Stay'!C:C,B54,'2-3. Travel Costs&amp;Costs of Stay'!B:B,$G$25)+SUMIFS('4. Equipment Costs'!H:H,'4. Equipment Costs'!C:C,B54,'4. Equipment Costs'!B:B,$G$25)+SUMIFS('5. Subcontracting Costs'!H:H,'5. Subcontracting Costs'!C:C,B54,'5. Subcontracting Costs'!B:B,$G$25)</f>
        <v>0</v>
      </c>
      <c r="H54" s="61">
        <f>SUMIF('B. Special Mob Strand - Student'!B:B,B54,'B. Special Mob Strand - Student'!N:N)+SUMIF('B. Special Mob Strand - Staff'!B:B,B54,'B. Special Mob Strand - Staff'!N:N)</f>
        <v>0</v>
      </c>
      <c r="I54" s="64">
        <f t="shared" si="4"/>
        <v>0</v>
      </c>
    </row>
    <row r="55" spans="2:9" x14ac:dyDescent="0.35">
      <c r="B55" s="15" t="s">
        <v>121</v>
      </c>
      <c r="C55" s="54">
        <f>SUMIFS('1. Staff costs'!S:S,'1. Staff costs'!C:C,B55,'1. Staff costs'!B:B,$C$25)+SUMIFS('2-3. Travel Costs&amp;Costs of Stay'!N:N,'2-3. Travel Costs&amp;Costs of Stay'!C:C,B55,'2-3. Travel Costs&amp;Costs of Stay'!B:B,$C$25)+SUMIFS('4. Equipment Costs'!H:H,'4. Equipment Costs'!C:C,B55,'4. Equipment Costs'!B:B,$C$25)+SUMIFS('5. Subcontracting Costs'!H:H,'5. Subcontracting Costs'!C:C,B55,'5. Subcontracting Costs'!B:B,$C$25)</f>
        <v>0</v>
      </c>
      <c r="D55" s="54">
        <f>SUMIFS('1. Staff costs'!S:S,'1. Staff costs'!C:C,B55,'1. Staff costs'!B:B,$D$25)+SUMIFS('2-3. Travel Costs&amp;Costs of Stay'!N:N,'2-3. Travel Costs&amp;Costs of Stay'!C:C,B55,'2-3. Travel Costs&amp;Costs of Stay'!B:B,$D$25)+SUMIFS('4. Equipment Costs'!H:H,'4. Equipment Costs'!C:C,B55,'4. Equipment Costs'!B:B,$D$25)+SUMIFS('5. Subcontracting Costs'!H:H,'5. Subcontracting Costs'!C:C,B55,'5. Subcontracting Costs'!B:B,$D$25)</f>
        <v>0</v>
      </c>
      <c r="E55" s="54">
        <f>SUMIFS('1. Staff costs'!S:S,'1. Staff costs'!C:C,B55,'1. Staff costs'!B:B,$E$25)+SUMIFS('2-3. Travel Costs&amp;Costs of Stay'!N:N,'2-3. Travel Costs&amp;Costs of Stay'!C:C,B55,'2-3. Travel Costs&amp;Costs of Stay'!B:B,$E$25)+SUMIFS('4. Equipment Costs'!H:H,'4. Equipment Costs'!C:C,B55,'4. Equipment Costs'!B:B,$E$25)+SUMIFS('5. Subcontracting Costs'!H:H,'5. Subcontracting Costs'!C:C,B55,'5. Subcontracting Costs'!B:B,$E$25)</f>
        <v>0</v>
      </c>
      <c r="F55" s="54">
        <f>SUMIFS('1. Staff costs'!S:S,'1. Staff costs'!C:C,B55,'1. Staff costs'!B:B,$B$8)+SUMIFS('2-3. Travel Costs&amp;Costs of Stay'!N:N,'2-3. Travel Costs&amp;Costs of Stay'!C:C,B55,'2-3. Travel Costs&amp;Costs of Stay'!B:B,$B$8)+SUMIFS('4. Equipment Costs'!H:H,'4. Equipment Costs'!C:C,B55,'4. Equipment Costs'!B:B,$B$8)+SUMIFS('5. Subcontracting Costs'!H:H,'5. Subcontracting Costs'!C:C,B55,'5. Subcontracting Costs'!B:B,$B$8)</f>
        <v>0</v>
      </c>
      <c r="G55" s="54">
        <f>SUMIFS('1. Staff costs'!S:S,'1. Staff costs'!C:C,B55,'1. Staff costs'!B:B,$G$25)+SUMIFS('2-3. Travel Costs&amp;Costs of Stay'!N:N,'2-3. Travel Costs&amp;Costs of Stay'!C:C,B55,'2-3. Travel Costs&amp;Costs of Stay'!B:B,$G$25)+SUMIFS('4. Equipment Costs'!H:H,'4. Equipment Costs'!C:C,B55,'4. Equipment Costs'!B:B,$G$25)+SUMIFS('5. Subcontracting Costs'!H:H,'5. Subcontracting Costs'!C:C,B55,'5. Subcontracting Costs'!B:B,$G$25)</f>
        <v>0</v>
      </c>
      <c r="H55" s="61">
        <f>SUMIF('B. Special Mob Strand - Student'!B:B,B55,'B. Special Mob Strand - Student'!N:N)+SUMIF('B. Special Mob Strand - Staff'!B:B,B55,'B. Special Mob Strand - Staff'!N:N)</f>
        <v>0</v>
      </c>
      <c r="I55" s="64">
        <f t="shared" si="4"/>
        <v>0</v>
      </c>
    </row>
    <row r="56" spans="2:9" x14ac:dyDescent="0.35">
      <c r="B56" s="15" t="s">
        <v>122</v>
      </c>
      <c r="C56" s="54">
        <f>SUMIFS('1. Staff costs'!S:S,'1. Staff costs'!C:C,B56,'1. Staff costs'!B:B,$C$25)+SUMIFS('2-3. Travel Costs&amp;Costs of Stay'!N:N,'2-3. Travel Costs&amp;Costs of Stay'!C:C,B56,'2-3. Travel Costs&amp;Costs of Stay'!B:B,$C$25)+SUMIFS('4. Equipment Costs'!H:H,'4. Equipment Costs'!C:C,B56,'4. Equipment Costs'!B:B,$C$25)+SUMIFS('5. Subcontracting Costs'!H:H,'5. Subcontracting Costs'!C:C,B56,'5. Subcontracting Costs'!B:B,$C$25)</f>
        <v>0</v>
      </c>
      <c r="D56" s="54">
        <f>SUMIFS('1. Staff costs'!S:S,'1. Staff costs'!C:C,B56,'1. Staff costs'!B:B,$D$25)+SUMIFS('2-3. Travel Costs&amp;Costs of Stay'!N:N,'2-3. Travel Costs&amp;Costs of Stay'!C:C,B56,'2-3. Travel Costs&amp;Costs of Stay'!B:B,$D$25)+SUMIFS('4. Equipment Costs'!H:H,'4. Equipment Costs'!C:C,B56,'4. Equipment Costs'!B:B,$D$25)+SUMIFS('5. Subcontracting Costs'!H:H,'5. Subcontracting Costs'!C:C,B56,'5. Subcontracting Costs'!B:B,$D$25)</f>
        <v>0</v>
      </c>
      <c r="E56" s="54">
        <f>SUMIFS('1. Staff costs'!S:S,'1. Staff costs'!C:C,B56,'1. Staff costs'!B:B,$E$25)+SUMIFS('2-3. Travel Costs&amp;Costs of Stay'!N:N,'2-3. Travel Costs&amp;Costs of Stay'!C:C,B56,'2-3. Travel Costs&amp;Costs of Stay'!B:B,$E$25)+SUMIFS('4. Equipment Costs'!H:H,'4. Equipment Costs'!C:C,B56,'4. Equipment Costs'!B:B,$E$25)+SUMIFS('5. Subcontracting Costs'!H:H,'5. Subcontracting Costs'!C:C,B56,'5. Subcontracting Costs'!B:B,$E$25)</f>
        <v>0</v>
      </c>
      <c r="F56" s="54">
        <f>SUMIFS('1. Staff costs'!S:S,'1. Staff costs'!C:C,B56,'1. Staff costs'!B:B,$B$8)+SUMIFS('2-3. Travel Costs&amp;Costs of Stay'!N:N,'2-3. Travel Costs&amp;Costs of Stay'!C:C,B56,'2-3. Travel Costs&amp;Costs of Stay'!B:B,$B$8)+SUMIFS('4. Equipment Costs'!H:H,'4. Equipment Costs'!C:C,B56,'4. Equipment Costs'!B:B,$B$8)+SUMIFS('5. Subcontracting Costs'!H:H,'5. Subcontracting Costs'!C:C,B56,'5. Subcontracting Costs'!B:B,$B$8)</f>
        <v>0</v>
      </c>
      <c r="G56" s="54">
        <f>SUMIFS('1. Staff costs'!S:S,'1. Staff costs'!C:C,B56,'1. Staff costs'!B:B,$G$25)+SUMIFS('2-3. Travel Costs&amp;Costs of Stay'!N:N,'2-3. Travel Costs&amp;Costs of Stay'!C:C,B56,'2-3. Travel Costs&amp;Costs of Stay'!B:B,$G$25)+SUMIFS('4. Equipment Costs'!H:H,'4. Equipment Costs'!C:C,B56,'4. Equipment Costs'!B:B,$G$25)+SUMIFS('5. Subcontracting Costs'!H:H,'5. Subcontracting Costs'!C:C,B56,'5. Subcontracting Costs'!B:B,$G$25)</f>
        <v>0</v>
      </c>
      <c r="H56" s="61">
        <f>SUMIF('B. Special Mob Strand - Student'!B:B,B56,'B. Special Mob Strand - Student'!N:N)+SUMIF('B. Special Mob Strand - Staff'!B:B,B56,'B. Special Mob Strand - Staff'!N:N)</f>
        <v>0</v>
      </c>
      <c r="I56" s="64">
        <f t="shared" si="4"/>
        <v>0</v>
      </c>
    </row>
    <row r="57" spans="2:9" x14ac:dyDescent="0.35">
      <c r="B57" s="15" t="s">
        <v>123</v>
      </c>
      <c r="C57" s="54">
        <f>SUMIFS('1. Staff costs'!S:S,'1. Staff costs'!C:C,B57,'1. Staff costs'!B:B,$C$25)+SUMIFS('2-3. Travel Costs&amp;Costs of Stay'!N:N,'2-3. Travel Costs&amp;Costs of Stay'!C:C,B57,'2-3. Travel Costs&amp;Costs of Stay'!B:B,$C$25)+SUMIFS('4. Equipment Costs'!H:H,'4. Equipment Costs'!C:C,B57,'4. Equipment Costs'!B:B,$C$25)+SUMIFS('5. Subcontracting Costs'!H:H,'5. Subcontracting Costs'!C:C,B57,'5. Subcontracting Costs'!B:B,$C$25)</f>
        <v>0</v>
      </c>
      <c r="D57" s="54">
        <f>SUMIFS('1. Staff costs'!S:S,'1. Staff costs'!C:C,B57,'1. Staff costs'!B:B,$D$25)+SUMIFS('2-3. Travel Costs&amp;Costs of Stay'!N:N,'2-3. Travel Costs&amp;Costs of Stay'!C:C,B57,'2-3. Travel Costs&amp;Costs of Stay'!B:B,$D$25)+SUMIFS('4. Equipment Costs'!H:H,'4. Equipment Costs'!C:C,B57,'4. Equipment Costs'!B:B,$D$25)+SUMIFS('5. Subcontracting Costs'!H:H,'5. Subcontracting Costs'!C:C,B57,'5. Subcontracting Costs'!B:B,$D$25)</f>
        <v>0</v>
      </c>
      <c r="E57" s="54">
        <f>SUMIFS('1. Staff costs'!S:S,'1. Staff costs'!C:C,B57,'1. Staff costs'!B:B,$E$25)+SUMIFS('2-3. Travel Costs&amp;Costs of Stay'!N:N,'2-3. Travel Costs&amp;Costs of Stay'!C:C,B57,'2-3. Travel Costs&amp;Costs of Stay'!B:B,$E$25)+SUMIFS('4. Equipment Costs'!H:H,'4. Equipment Costs'!C:C,B57,'4. Equipment Costs'!B:B,$E$25)+SUMIFS('5. Subcontracting Costs'!H:H,'5. Subcontracting Costs'!C:C,B57,'5. Subcontracting Costs'!B:B,$E$25)</f>
        <v>0</v>
      </c>
      <c r="F57" s="54">
        <f>SUMIFS('1. Staff costs'!S:S,'1. Staff costs'!C:C,B57,'1. Staff costs'!B:B,$B$8)+SUMIFS('2-3. Travel Costs&amp;Costs of Stay'!N:N,'2-3. Travel Costs&amp;Costs of Stay'!C:C,B57,'2-3. Travel Costs&amp;Costs of Stay'!B:B,$B$8)+SUMIFS('4. Equipment Costs'!H:H,'4. Equipment Costs'!C:C,B57,'4. Equipment Costs'!B:B,$B$8)+SUMIFS('5. Subcontracting Costs'!H:H,'5. Subcontracting Costs'!C:C,B57,'5. Subcontracting Costs'!B:B,$B$8)</f>
        <v>0</v>
      </c>
      <c r="G57" s="54">
        <f>SUMIFS('1. Staff costs'!S:S,'1. Staff costs'!C:C,B57,'1. Staff costs'!B:B,$G$25)+SUMIFS('2-3. Travel Costs&amp;Costs of Stay'!N:N,'2-3. Travel Costs&amp;Costs of Stay'!C:C,B57,'2-3. Travel Costs&amp;Costs of Stay'!B:B,$G$25)+SUMIFS('4. Equipment Costs'!H:H,'4. Equipment Costs'!C:C,B57,'4. Equipment Costs'!B:B,$G$25)+SUMIFS('5. Subcontracting Costs'!H:H,'5. Subcontracting Costs'!C:C,B57,'5. Subcontracting Costs'!B:B,$G$25)</f>
        <v>0</v>
      </c>
      <c r="H57" s="61">
        <f>SUMIF('B. Special Mob Strand - Student'!B:B,B57,'B. Special Mob Strand - Student'!N:N)+SUMIF('B. Special Mob Strand - Staff'!B:B,B57,'B. Special Mob Strand - Staff'!N:N)</f>
        <v>0</v>
      </c>
      <c r="I57" s="64">
        <f t="shared" si="4"/>
        <v>0</v>
      </c>
    </row>
    <row r="58" spans="2:9" x14ac:dyDescent="0.35">
      <c r="B58" s="15" t="s">
        <v>124</v>
      </c>
      <c r="C58" s="54">
        <f>SUMIFS('1. Staff costs'!S:S,'1. Staff costs'!C:C,B58,'1. Staff costs'!B:B,$C$25)+SUMIFS('2-3. Travel Costs&amp;Costs of Stay'!N:N,'2-3. Travel Costs&amp;Costs of Stay'!C:C,B58,'2-3. Travel Costs&amp;Costs of Stay'!B:B,$C$25)+SUMIFS('4. Equipment Costs'!H:H,'4. Equipment Costs'!C:C,B58,'4. Equipment Costs'!B:B,$C$25)+SUMIFS('5. Subcontracting Costs'!H:H,'5. Subcontracting Costs'!C:C,B58,'5. Subcontracting Costs'!B:B,$C$25)</f>
        <v>0</v>
      </c>
      <c r="D58" s="54">
        <f>SUMIFS('1. Staff costs'!S:S,'1. Staff costs'!C:C,B58,'1. Staff costs'!B:B,$D$25)+SUMIFS('2-3. Travel Costs&amp;Costs of Stay'!N:N,'2-3. Travel Costs&amp;Costs of Stay'!C:C,B58,'2-3. Travel Costs&amp;Costs of Stay'!B:B,$D$25)+SUMIFS('4. Equipment Costs'!H:H,'4. Equipment Costs'!C:C,B58,'4. Equipment Costs'!B:B,$D$25)+SUMIFS('5. Subcontracting Costs'!H:H,'5. Subcontracting Costs'!C:C,B58,'5. Subcontracting Costs'!B:B,$D$25)</f>
        <v>0</v>
      </c>
      <c r="E58" s="54">
        <f>SUMIFS('1. Staff costs'!S:S,'1. Staff costs'!C:C,B58,'1. Staff costs'!B:B,$E$25)+SUMIFS('2-3. Travel Costs&amp;Costs of Stay'!N:N,'2-3. Travel Costs&amp;Costs of Stay'!C:C,B58,'2-3. Travel Costs&amp;Costs of Stay'!B:B,$E$25)+SUMIFS('4. Equipment Costs'!H:H,'4. Equipment Costs'!C:C,B58,'4. Equipment Costs'!B:B,$E$25)+SUMIFS('5. Subcontracting Costs'!H:H,'5. Subcontracting Costs'!C:C,B58,'5. Subcontracting Costs'!B:B,$E$25)</f>
        <v>0</v>
      </c>
      <c r="F58" s="54">
        <f>SUMIFS('1. Staff costs'!S:S,'1. Staff costs'!C:C,B58,'1. Staff costs'!B:B,$B$8)+SUMIFS('2-3. Travel Costs&amp;Costs of Stay'!N:N,'2-3. Travel Costs&amp;Costs of Stay'!C:C,B58,'2-3. Travel Costs&amp;Costs of Stay'!B:B,$B$8)+SUMIFS('4. Equipment Costs'!H:H,'4. Equipment Costs'!C:C,B58,'4. Equipment Costs'!B:B,$B$8)+SUMIFS('5. Subcontracting Costs'!H:H,'5. Subcontracting Costs'!C:C,B58,'5. Subcontracting Costs'!B:B,$B$8)</f>
        <v>0</v>
      </c>
      <c r="G58" s="54">
        <f>SUMIFS('1. Staff costs'!S:S,'1. Staff costs'!C:C,B58,'1. Staff costs'!B:B,$G$25)+SUMIFS('2-3. Travel Costs&amp;Costs of Stay'!N:N,'2-3. Travel Costs&amp;Costs of Stay'!C:C,B58,'2-3. Travel Costs&amp;Costs of Stay'!B:B,$G$25)+SUMIFS('4. Equipment Costs'!H:H,'4. Equipment Costs'!C:C,B58,'4. Equipment Costs'!B:B,$G$25)+SUMIFS('5. Subcontracting Costs'!H:H,'5. Subcontracting Costs'!C:C,B58,'5. Subcontracting Costs'!B:B,$G$25)</f>
        <v>0</v>
      </c>
      <c r="H58" s="61">
        <f>SUMIF('B. Special Mob Strand - Student'!B:B,B58,'B. Special Mob Strand - Student'!N:N)+SUMIF('B. Special Mob Strand - Staff'!B:B,B58,'B. Special Mob Strand - Staff'!N:N)</f>
        <v>0</v>
      </c>
      <c r="I58" s="64">
        <f t="shared" si="4"/>
        <v>0</v>
      </c>
    </row>
    <row r="59" spans="2:9" x14ac:dyDescent="0.35">
      <c r="B59" s="15" t="s">
        <v>125</v>
      </c>
      <c r="C59" s="54">
        <f>SUMIFS('1. Staff costs'!S:S,'1. Staff costs'!C:C,B59,'1. Staff costs'!B:B,$C$25)+SUMIFS('2-3. Travel Costs&amp;Costs of Stay'!N:N,'2-3. Travel Costs&amp;Costs of Stay'!C:C,B59,'2-3. Travel Costs&amp;Costs of Stay'!B:B,$C$25)+SUMIFS('4. Equipment Costs'!H:H,'4. Equipment Costs'!C:C,B59,'4. Equipment Costs'!B:B,$C$25)+SUMIFS('5. Subcontracting Costs'!H:H,'5. Subcontracting Costs'!C:C,B59,'5. Subcontracting Costs'!B:B,$C$25)</f>
        <v>0</v>
      </c>
      <c r="D59" s="54">
        <f>SUMIFS('1. Staff costs'!S:S,'1. Staff costs'!C:C,B59,'1. Staff costs'!B:B,$D$25)+SUMIFS('2-3. Travel Costs&amp;Costs of Stay'!N:N,'2-3. Travel Costs&amp;Costs of Stay'!C:C,B59,'2-3. Travel Costs&amp;Costs of Stay'!B:B,$D$25)+SUMIFS('4. Equipment Costs'!H:H,'4. Equipment Costs'!C:C,B59,'4. Equipment Costs'!B:B,$D$25)+SUMIFS('5. Subcontracting Costs'!H:H,'5. Subcontracting Costs'!C:C,B59,'5. Subcontracting Costs'!B:B,$D$25)</f>
        <v>0</v>
      </c>
      <c r="E59" s="54">
        <f>SUMIFS('1. Staff costs'!S:S,'1. Staff costs'!C:C,B59,'1. Staff costs'!B:B,$E$25)+SUMIFS('2-3. Travel Costs&amp;Costs of Stay'!N:N,'2-3. Travel Costs&amp;Costs of Stay'!C:C,B59,'2-3. Travel Costs&amp;Costs of Stay'!B:B,$E$25)+SUMIFS('4. Equipment Costs'!H:H,'4. Equipment Costs'!C:C,B59,'4. Equipment Costs'!B:B,$E$25)+SUMIFS('5. Subcontracting Costs'!H:H,'5. Subcontracting Costs'!C:C,B59,'5. Subcontracting Costs'!B:B,$E$25)</f>
        <v>0</v>
      </c>
      <c r="F59" s="54">
        <f>SUMIFS('1. Staff costs'!S:S,'1. Staff costs'!C:C,B59,'1. Staff costs'!B:B,$B$8)+SUMIFS('2-3. Travel Costs&amp;Costs of Stay'!N:N,'2-3. Travel Costs&amp;Costs of Stay'!C:C,B59,'2-3. Travel Costs&amp;Costs of Stay'!B:B,$B$8)+SUMIFS('4. Equipment Costs'!H:H,'4. Equipment Costs'!C:C,B59,'4. Equipment Costs'!B:B,$B$8)+SUMIFS('5. Subcontracting Costs'!H:H,'5. Subcontracting Costs'!C:C,B59,'5. Subcontracting Costs'!B:B,$B$8)</f>
        <v>0</v>
      </c>
      <c r="G59" s="54">
        <f>SUMIFS('1. Staff costs'!S:S,'1. Staff costs'!C:C,B59,'1. Staff costs'!B:B,$G$25)+SUMIFS('2-3. Travel Costs&amp;Costs of Stay'!N:N,'2-3. Travel Costs&amp;Costs of Stay'!C:C,B59,'2-3. Travel Costs&amp;Costs of Stay'!B:B,$G$25)+SUMIFS('4. Equipment Costs'!H:H,'4. Equipment Costs'!C:C,B59,'4. Equipment Costs'!B:B,$G$25)+SUMIFS('5. Subcontracting Costs'!H:H,'5. Subcontracting Costs'!C:C,B59,'5. Subcontracting Costs'!B:B,$G$25)</f>
        <v>0</v>
      </c>
      <c r="H59" s="61">
        <f>SUMIF('B. Special Mob Strand - Student'!B:B,B59,'B. Special Mob Strand - Student'!N:N)+SUMIF('B. Special Mob Strand - Staff'!B:B,B59,'B. Special Mob Strand - Staff'!N:N)</f>
        <v>0</v>
      </c>
      <c r="I59" s="64">
        <f t="shared" si="4"/>
        <v>0</v>
      </c>
    </row>
    <row r="60" spans="2:9" x14ac:dyDescent="0.35">
      <c r="B60" s="15" t="s">
        <v>126</v>
      </c>
      <c r="C60" s="54">
        <f>SUMIFS('1. Staff costs'!S:S,'1. Staff costs'!C:C,B60,'1. Staff costs'!B:B,$C$25)+SUMIFS('2-3. Travel Costs&amp;Costs of Stay'!N:N,'2-3. Travel Costs&amp;Costs of Stay'!C:C,B60,'2-3. Travel Costs&amp;Costs of Stay'!B:B,$C$25)+SUMIFS('4. Equipment Costs'!H:H,'4. Equipment Costs'!C:C,B60,'4. Equipment Costs'!B:B,$C$25)+SUMIFS('5. Subcontracting Costs'!H:H,'5. Subcontracting Costs'!C:C,B60,'5. Subcontracting Costs'!B:B,$C$25)</f>
        <v>0</v>
      </c>
      <c r="D60" s="54">
        <f>SUMIFS('1. Staff costs'!S:S,'1. Staff costs'!C:C,B60,'1. Staff costs'!B:B,$D$25)+SUMIFS('2-3. Travel Costs&amp;Costs of Stay'!N:N,'2-3. Travel Costs&amp;Costs of Stay'!C:C,B60,'2-3. Travel Costs&amp;Costs of Stay'!B:B,$D$25)+SUMIFS('4. Equipment Costs'!H:H,'4. Equipment Costs'!C:C,B60,'4. Equipment Costs'!B:B,$D$25)+SUMIFS('5. Subcontracting Costs'!H:H,'5. Subcontracting Costs'!C:C,B60,'5. Subcontracting Costs'!B:B,$D$25)</f>
        <v>0</v>
      </c>
      <c r="E60" s="54">
        <f>SUMIFS('1. Staff costs'!S:S,'1. Staff costs'!C:C,B60,'1. Staff costs'!B:B,$E$25)+SUMIFS('2-3. Travel Costs&amp;Costs of Stay'!N:N,'2-3. Travel Costs&amp;Costs of Stay'!C:C,B60,'2-3. Travel Costs&amp;Costs of Stay'!B:B,$E$25)+SUMIFS('4. Equipment Costs'!H:H,'4. Equipment Costs'!C:C,B60,'4. Equipment Costs'!B:B,$E$25)+SUMIFS('5. Subcontracting Costs'!H:H,'5. Subcontracting Costs'!C:C,B60,'5. Subcontracting Costs'!B:B,$E$25)</f>
        <v>0</v>
      </c>
      <c r="F60" s="54">
        <f>SUMIFS('1. Staff costs'!S:S,'1. Staff costs'!C:C,B60,'1. Staff costs'!B:B,$B$8)+SUMIFS('2-3. Travel Costs&amp;Costs of Stay'!N:N,'2-3. Travel Costs&amp;Costs of Stay'!C:C,B60,'2-3. Travel Costs&amp;Costs of Stay'!B:B,$B$8)+SUMIFS('4. Equipment Costs'!H:H,'4. Equipment Costs'!C:C,B60,'4. Equipment Costs'!B:B,$B$8)+SUMIFS('5. Subcontracting Costs'!H:H,'5. Subcontracting Costs'!C:C,B60,'5. Subcontracting Costs'!B:B,$B$8)</f>
        <v>0</v>
      </c>
      <c r="G60" s="54">
        <f>SUMIFS('1. Staff costs'!S:S,'1. Staff costs'!C:C,B60,'1. Staff costs'!B:B,$G$25)+SUMIFS('2-3. Travel Costs&amp;Costs of Stay'!N:N,'2-3. Travel Costs&amp;Costs of Stay'!C:C,B60,'2-3. Travel Costs&amp;Costs of Stay'!B:B,$G$25)+SUMIFS('4. Equipment Costs'!H:H,'4. Equipment Costs'!C:C,B60,'4. Equipment Costs'!B:B,$G$25)+SUMIFS('5. Subcontracting Costs'!H:H,'5. Subcontracting Costs'!C:C,B60,'5. Subcontracting Costs'!B:B,$G$25)</f>
        <v>0</v>
      </c>
      <c r="H60" s="61">
        <f>SUMIF('B. Special Mob Strand - Student'!B:B,B60,'B. Special Mob Strand - Student'!N:N)+SUMIF('B. Special Mob Strand - Staff'!B:B,B60,'B. Special Mob Strand - Staff'!N:N)</f>
        <v>0</v>
      </c>
      <c r="I60" s="64">
        <f t="shared" si="4"/>
        <v>0</v>
      </c>
    </row>
    <row r="61" spans="2:9" x14ac:dyDescent="0.35">
      <c r="B61" s="15" t="s">
        <v>127</v>
      </c>
      <c r="C61" s="54">
        <f>SUMIFS('1. Staff costs'!S:S,'1. Staff costs'!C:C,B61,'1. Staff costs'!B:B,$C$25)+SUMIFS('2-3. Travel Costs&amp;Costs of Stay'!N:N,'2-3. Travel Costs&amp;Costs of Stay'!C:C,B61,'2-3. Travel Costs&amp;Costs of Stay'!B:B,$C$25)+SUMIFS('4. Equipment Costs'!H:H,'4. Equipment Costs'!C:C,B61,'4. Equipment Costs'!B:B,$C$25)+SUMIFS('5. Subcontracting Costs'!H:H,'5. Subcontracting Costs'!C:C,B61,'5. Subcontracting Costs'!B:B,$C$25)</f>
        <v>0</v>
      </c>
      <c r="D61" s="54">
        <f>SUMIFS('1. Staff costs'!S:S,'1. Staff costs'!C:C,B61,'1. Staff costs'!B:B,$D$25)+SUMIFS('2-3. Travel Costs&amp;Costs of Stay'!N:N,'2-3. Travel Costs&amp;Costs of Stay'!C:C,B61,'2-3. Travel Costs&amp;Costs of Stay'!B:B,$D$25)+SUMIFS('4. Equipment Costs'!H:H,'4. Equipment Costs'!C:C,B61,'4. Equipment Costs'!B:B,$D$25)+SUMIFS('5. Subcontracting Costs'!H:H,'5. Subcontracting Costs'!C:C,B61,'5. Subcontracting Costs'!B:B,$D$25)</f>
        <v>0</v>
      </c>
      <c r="E61" s="54">
        <f>SUMIFS('1. Staff costs'!S:S,'1. Staff costs'!C:C,B61,'1. Staff costs'!B:B,$E$25)+SUMIFS('2-3. Travel Costs&amp;Costs of Stay'!N:N,'2-3. Travel Costs&amp;Costs of Stay'!C:C,B61,'2-3. Travel Costs&amp;Costs of Stay'!B:B,$E$25)+SUMIFS('4. Equipment Costs'!H:H,'4. Equipment Costs'!C:C,B61,'4. Equipment Costs'!B:B,$E$25)+SUMIFS('5. Subcontracting Costs'!H:H,'5. Subcontracting Costs'!C:C,B61,'5. Subcontracting Costs'!B:B,$E$25)</f>
        <v>0</v>
      </c>
      <c r="F61" s="54">
        <f>SUMIFS('1. Staff costs'!S:S,'1. Staff costs'!C:C,B61,'1. Staff costs'!B:B,$B$8)+SUMIFS('2-3. Travel Costs&amp;Costs of Stay'!N:N,'2-3. Travel Costs&amp;Costs of Stay'!C:C,B61,'2-3. Travel Costs&amp;Costs of Stay'!B:B,$B$8)+SUMIFS('4. Equipment Costs'!H:H,'4. Equipment Costs'!C:C,B61,'4. Equipment Costs'!B:B,$B$8)+SUMIFS('5. Subcontracting Costs'!H:H,'5. Subcontracting Costs'!C:C,B61,'5. Subcontracting Costs'!B:B,$B$8)</f>
        <v>0</v>
      </c>
      <c r="G61" s="54">
        <f>SUMIFS('1. Staff costs'!S:S,'1. Staff costs'!C:C,B61,'1. Staff costs'!B:B,$G$25)+SUMIFS('2-3. Travel Costs&amp;Costs of Stay'!N:N,'2-3. Travel Costs&amp;Costs of Stay'!C:C,B61,'2-3. Travel Costs&amp;Costs of Stay'!B:B,$G$25)+SUMIFS('4. Equipment Costs'!H:H,'4. Equipment Costs'!C:C,B61,'4. Equipment Costs'!B:B,$G$25)+SUMIFS('5. Subcontracting Costs'!H:H,'5. Subcontracting Costs'!C:C,B61,'5. Subcontracting Costs'!B:B,$G$25)</f>
        <v>0</v>
      </c>
      <c r="H61" s="61">
        <f>SUMIF('B. Special Mob Strand - Student'!B:B,B61,'B. Special Mob Strand - Student'!N:N)+SUMIF('B. Special Mob Strand - Staff'!B:B,B61,'B. Special Mob Strand - Staff'!N:N)</f>
        <v>0</v>
      </c>
      <c r="I61" s="64">
        <f t="shared" si="4"/>
        <v>0</v>
      </c>
    </row>
    <row r="62" spans="2:9" x14ac:dyDescent="0.35">
      <c r="B62" s="15" t="s">
        <v>128</v>
      </c>
      <c r="C62" s="54">
        <f>SUMIFS('1. Staff costs'!S:S,'1. Staff costs'!C:C,B62,'1. Staff costs'!B:B,$C$25)+SUMIFS('2-3. Travel Costs&amp;Costs of Stay'!N:N,'2-3. Travel Costs&amp;Costs of Stay'!C:C,B62,'2-3. Travel Costs&amp;Costs of Stay'!B:B,$C$25)+SUMIFS('4. Equipment Costs'!H:H,'4. Equipment Costs'!C:C,B62,'4. Equipment Costs'!B:B,$C$25)+SUMIFS('5. Subcontracting Costs'!H:H,'5. Subcontracting Costs'!C:C,B62,'5. Subcontracting Costs'!B:B,$C$25)</f>
        <v>0</v>
      </c>
      <c r="D62" s="54">
        <f>SUMIFS('1. Staff costs'!S:S,'1. Staff costs'!C:C,B62,'1. Staff costs'!B:B,$D$25)+SUMIFS('2-3. Travel Costs&amp;Costs of Stay'!N:N,'2-3. Travel Costs&amp;Costs of Stay'!C:C,B62,'2-3. Travel Costs&amp;Costs of Stay'!B:B,$D$25)+SUMIFS('4. Equipment Costs'!H:H,'4. Equipment Costs'!C:C,B62,'4. Equipment Costs'!B:B,$D$25)+SUMIFS('5. Subcontracting Costs'!H:H,'5. Subcontracting Costs'!C:C,B62,'5. Subcontracting Costs'!B:B,$D$25)</f>
        <v>0</v>
      </c>
      <c r="E62" s="54">
        <f>SUMIFS('1. Staff costs'!S:S,'1. Staff costs'!C:C,B62,'1. Staff costs'!B:B,$E$25)+SUMIFS('2-3. Travel Costs&amp;Costs of Stay'!N:N,'2-3. Travel Costs&amp;Costs of Stay'!C:C,B62,'2-3. Travel Costs&amp;Costs of Stay'!B:B,$E$25)+SUMIFS('4. Equipment Costs'!H:H,'4. Equipment Costs'!C:C,B62,'4. Equipment Costs'!B:B,$E$25)+SUMIFS('5. Subcontracting Costs'!H:H,'5. Subcontracting Costs'!C:C,B62,'5. Subcontracting Costs'!B:B,$E$25)</f>
        <v>0</v>
      </c>
      <c r="F62" s="54">
        <f>SUMIFS('1. Staff costs'!S:S,'1. Staff costs'!C:C,B62,'1. Staff costs'!B:B,$B$8)+SUMIFS('2-3. Travel Costs&amp;Costs of Stay'!N:N,'2-3. Travel Costs&amp;Costs of Stay'!C:C,B62,'2-3. Travel Costs&amp;Costs of Stay'!B:B,$B$8)+SUMIFS('4. Equipment Costs'!H:H,'4. Equipment Costs'!C:C,B62,'4. Equipment Costs'!B:B,$B$8)+SUMIFS('5. Subcontracting Costs'!H:H,'5. Subcontracting Costs'!C:C,B62,'5. Subcontracting Costs'!B:B,$B$8)</f>
        <v>0</v>
      </c>
      <c r="G62" s="54">
        <f>SUMIFS('1. Staff costs'!S:S,'1. Staff costs'!C:C,B62,'1. Staff costs'!B:B,$G$25)+SUMIFS('2-3. Travel Costs&amp;Costs of Stay'!N:N,'2-3. Travel Costs&amp;Costs of Stay'!C:C,B62,'2-3. Travel Costs&amp;Costs of Stay'!B:B,$G$25)+SUMIFS('4. Equipment Costs'!H:H,'4. Equipment Costs'!C:C,B62,'4. Equipment Costs'!B:B,$G$25)+SUMIFS('5. Subcontracting Costs'!H:H,'5. Subcontracting Costs'!C:C,B62,'5. Subcontracting Costs'!B:B,$G$25)</f>
        <v>0</v>
      </c>
      <c r="H62" s="61">
        <f>SUMIF('B. Special Mob Strand - Student'!B:B,B62,'B. Special Mob Strand - Student'!N:N)+SUMIF('B. Special Mob Strand - Staff'!B:B,B62,'B. Special Mob Strand - Staff'!N:N)</f>
        <v>0</v>
      </c>
      <c r="I62" s="64">
        <f t="shared" si="4"/>
        <v>0</v>
      </c>
    </row>
    <row r="63" spans="2:9" x14ac:dyDescent="0.35">
      <c r="B63" s="15" t="s">
        <v>129</v>
      </c>
      <c r="C63" s="54">
        <f>SUMIFS('1. Staff costs'!S:S,'1. Staff costs'!C:C,B63,'1. Staff costs'!B:B,$C$25)+SUMIFS('2-3. Travel Costs&amp;Costs of Stay'!N:N,'2-3. Travel Costs&amp;Costs of Stay'!C:C,B63,'2-3. Travel Costs&amp;Costs of Stay'!B:B,$C$25)+SUMIFS('4. Equipment Costs'!H:H,'4. Equipment Costs'!C:C,B63,'4. Equipment Costs'!B:B,$C$25)+SUMIFS('5. Subcontracting Costs'!H:H,'5. Subcontracting Costs'!C:C,B63,'5. Subcontracting Costs'!B:B,$C$25)</f>
        <v>0</v>
      </c>
      <c r="D63" s="54">
        <f>SUMIFS('1. Staff costs'!S:S,'1. Staff costs'!C:C,B63,'1. Staff costs'!B:B,$D$25)+SUMIFS('2-3. Travel Costs&amp;Costs of Stay'!N:N,'2-3. Travel Costs&amp;Costs of Stay'!C:C,B63,'2-3. Travel Costs&amp;Costs of Stay'!B:B,$D$25)+SUMIFS('4. Equipment Costs'!H:H,'4. Equipment Costs'!C:C,B63,'4. Equipment Costs'!B:B,$D$25)+SUMIFS('5. Subcontracting Costs'!H:H,'5. Subcontracting Costs'!C:C,B63,'5. Subcontracting Costs'!B:B,$D$25)</f>
        <v>0</v>
      </c>
      <c r="E63" s="54">
        <f>SUMIFS('1. Staff costs'!S:S,'1. Staff costs'!C:C,B63,'1. Staff costs'!B:B,$E$25)+SUMIFS('2-3. Travel Costs&amp;Costs of Stay'!N:N,'2-3. Travel Costs&amp;Costs of Stay'!C:C,B63,'2-3. Travel Costs&amp;Costs of Stay'!B:B,$E$25)+SUMIFS('4. Equipment Costs'!H:H,'4. Equipment Costs'!C:C,B63,'4. Equipment Costs'!B:B,$E$25)+SUMIFS('5. Subcontracting Costs'!H:H,'5. Subcontracting Costs'!C:C,B63,'5. Subcontracting Costs'!B:B,$E$25)</f>
        <v>0</v>
      </c>
      <c r="F63" s="54">
        <f>SUMIFS('1. Staff costs'!S:S,'1. Staff costs'!C:C,B63,'1. Staff costs'!B:B,$B$8)+SUMIFS('2-3. Travel Costs&amp;Costs of Stay'!N:N,'2-3. Travel Costs&amp;Costs of Stay'!C:C,B63,'2-3. Travel Costs&amp;Costs of Stay'!B:B,$B$8)+SUMIFS('4. Equipment Costs'!H:H,'4. Equipment Costs'!C:C,B63,'4. Equipment Costs'!B:B,$B$8)+SUMIFS('5. Subcontracting Costs'!H:H,'5. Subcontracting Costs'!C:C,B63,'5. Subcontracting Costs'!B:B,$B$8)</f>
        <v>0</v>
      </c>
      <c r="G63" s="54">
        <f>SUMIFS('1. Staff costs'!S:S,'1. Staff costs'!C:C,B63,'1. Staff costs'!B:B,$G$25)+SUMIFS('2-3. Travel Costs&amp;Costs of Stay'!N:N,'2-3. Travel Costs&amp;Costs of Stay'!C:C,B63,'2-3. Travel Costs&amp;Costs of Stay'!B:B,$G$25)+SUMIFS('4. Equipment Costs'!H:H,'4. Equipment Costs'!C:C,B63,'4. Equipment Costs'!B:B,$G$25)+SUMIFS('5. Subcontracting Costs'!H:H,'5. Subcontracting Costs'!C:C,B63,'5. Subcontracting Costs'!B:B,$G$25)</f>
        <v>0</v>
      </c>
      <c r="H63" s="61">
        <f>SUMIF('B. Special Mob Strand - Student'!B:B,B63,'B. Special Mob Strand - Student'!N:N)+SUMIF('B. Special Mob Strand - Staff'!B:B,B63,'B. Special Mob Strand - Staff'!N:N)</f>
        <v>0</v>
      </c>
      <c r="I63" s="64">
        <f t="shared" si="4"/>
        <v>0</v>
      </c>
    </row>
    <row r="64" spans="2:9" x14ac:dyDescent="0.35">
      <c r="B64" s="15" t="s">
        <v>130</v>
      </c>
      <c r="C64" s="54">
        <f>SUMIFS('1. Staff costs'!S:S,'1. Staff costs'!C:C,B64,'1. Staff costs'!B:B,$C$25)+SUMIFS('2-3. Travel Costs&amp;Costs of Stay'!N:N,'2-3. Travel Costs&amp;Costs of Stay'!C:C,B64,'2-3. Travel Costs&amp;Costs of Stay'!B:B,$C$25)+SUMIFS('4. Equipment Costs'!H:H,'4. Equipment Costs'!C:C,B64,'4. Equipment Costs'!B:B,$C$25)+SUMIFS('5. Subcontracting Costs'!H:H,'5. Subcontracting Costs'!C:C,B64,'5. Subcontracting Costs'!B:B,$C$25)</f>
        <v>0</v>
      </c>
      <c r="D64" s="54">
        <f>SUMIFS('1. Staff costs'!S:S,'1. Staff costs'!C:C,B64,'1. Staff costs'!B:B,$D$25)+SUMIFS('2-3. Travel Costs&amp;Costs of Stay'!N:N,'2-3. Travel Costs&amp;Costs of Stay'!C:C,B64,'2-3. Travel Costs&amp;Costs of Stay'!B:B,$D$25)+SUMIFS('4. Equipment Costs'!H:H,'4. Equipment Costs'!C:C,B64,'4. Equipment Costs'!B:B,$D$25)+SUMIFS('5. Subcontracting Costs'!H:H,'5. Subcontracting Costs'!C:C,B64,'5. Subcontracting Costs'!B:B,$D$25)</f>
        <v>0</v>
      </c>
      <c r="E64" s="54">
        <f>SUMIFS('1. Staff costs'!S:S,'1. Staff costs'!C:C,B64,'1. Staff costs'!B:B,$E$25)+SUMIFS('2-3. Travel Costs&amp;Costs of Stay'!N:N,'2-3. Travel Costs&amp;Costs of Stay'!C:C,B64,'2-3. Travel Costs&amp;Costs of Stay'!B:B,$E$25)+SUMIFS('4. Equipment Costs'!H:H,'4. Equipment Costs'!C:C,B64,'4. Equipment Costs'!B:B,$E$25)+SUMIFS('5. Subcontracting Costs'!H:H,'5. Subcontracting Costs'!C:C,B64,'5. Subcontracting Costs'!B:B,$E$25)</f>
        <v>0</v>
      </c>
      <c r="F64" s="54">
        <f>SUMIFS('1. Staff costs'!S:S,'1. Staff costs'!C:C,B64,'1. Staff costs'!B:B,$B$8)+SUMIFS('2-3. Travel Costs&amp;Costs of Stay'!N:N,'2-3. Travel Costs&amp;Costs of Stay'!C:C,B64,'2-3. Travel Costs&amp;Costs of Stay'!B:B,$B$8)+SUMIFS('4. Equipment Costs'!H:H,'4. Equipment Costs'!C:C,B64,'4. Equipment Costs'!B:B,$B$8)+SUMIFS('5. Subcontracting Costs'!H:H,'5. Subcontracting Costs'!C:C,B64,'5. Subcontracting Costs'!B:B,$B$8)</f>
        <v>0</v>
      </c>
      <c r="G64" s="54">
        <f>SUMIFS('1. Staff costs'!S:S,'1. Staff costs'!C:C,B64,'1. Staff costs'!B:B,$G$25)+SUMIFS('2-3. Travel Costs&amp;Costs of Stay'!N:N,'2-3. Travel Costs&amp;Costs of Stay'!C:C,B64,'2-3. Travel Costs&amp;Costs of Stay'!B:B,$G$25)+SUMIFS('4. Equipment Costs'!H:H,'4. Equipment Costs'!C:C,B64,'4. Equipment Costs'!B:B,$G$25)+SUMIFS('5. Subcontracting Costs'!H:H,'5. Subcontracting Costs'!C:C,B64,'5. Subcontracting Costs'!B:B,$G$25)</f>
        <v>0</v>
      </c>
      <c r="H64" s="61">
        <f>SUMIF('B. Special Mob Strand - Student'!B:B,B64,'B. Special Mob Strand - Student'!N:N)+SUMIF('B. Special Mob Strand - Staff'!B:B,B64,'B. Special Mob Strand - Staff'!N:N)</f>
        <v>0</v>
      </c>
      <c r="I64" s="64">
        <f t="shared" si="4"/>
        <v>0</v>
      </c>
    </row>
    <row r="65" spans="2:9" x14ac:dyDescent="0.35">
      <c r="B65" s="15" t="s">
        <v>131</v>
      </c>
      <c r="C65" s="54">
        <f>SUMIFS('1. Staff costs'!S:S,'1. Staff costs'!C:C,B65,'1. Staff costs'!B:B,$C$25)+SUMIFS('2-3. Travel Costs&amp;Costs of Stay'!N:N,'2-3. Travel Costs&amp;Costs of Stay'!C:C,B65,'2-3. Travel Costs&amp;Costs of Stay'!B:B,$C$25)+SUMIFS('4. Equipment Costs'!H:H,'4. Equipment Costs'!C:C,B65,'4. Equipment Costs'!B:B,$C$25)+SUMIFS('5. Subcontracting Costs'!H:H,'5. Subcontracting Costs'!C:C,B65,'5. Subcontracting Costs'!B:B,$C$25)</f>
        <v>0</v>
      </c>
      <c r="D65" s="54">
        <f>SUMIFS('1. Staff costs'!S:S,'1. Staff costs'!C:C,B65,'1. Staff costs'!B:B,$D$25)+SUMIFS('2-3. Travel Costs&amp;Costs of Stay'!N:N,'2-3. Travel Costs&amp;Costs of Stay'!C:C,B65,'2-3. Travel Costs&amp;Costs of Stay'!B:B,$D$25)+SUMIFS('4. Equipment Costs'!H:H,'4. Equipment Costs'!C:C,B65,'4. Equipment Costs'!B:B,$D$25)+SUMIFS('5. Subcontracting Costs'!H:H,'5. Subcontracting Costs'!C:C,B65,'5. Subcontracting Costs'!B:B,$D$25)</f>
        <v>0</v>
      </c>
      <c r="E65" s="54">
        <f>SUMIFS('1. Staff costs'!S:S,'1. Staff costs'!C:C,B65,'1. Staff costs'!B:B,$E$25)+SUMIFS('2-3. Travel Costs&amp;Costs of Stay'!N:N,'2-3. Travel Costs&amp;Costs of Stay'!C:C,B65,'2-3. Travel Costs&amp;Costs of Stay'!B:B,$E$25)+SUMIFS('4. Equipment Costs'!H:H,'4. Equipment Costs'!C:C,B65,'4. Equipment Costs'!B:B,$E$25)+SUMIFS('5. Subcontracting Costs'!H:H,'5. Subcontracting Costs'!C:C,B65,'5. Subcontracting Costs'!B:B,$E$25)</f>
        <v>0</v>
      </c>
      <c r="F65" s="54">
        <f>SUMIFS('1. Staff costs'!S:S,'1. Staff costs'!C:C,B65,'1. Staff costs'!B:B,$B$8)+SUMIFS('2-3. Travel Costs&amp;Costs of Stay'!N:N,'2-3. Travel Costs&amp;Costs of Stay'!C:C,B65,'2-3. Travel Costs&amp;Costs of Stay'!B:B,$B$8)+SUMIFS('4. Equipment Costs'!H:H,'4. Equipment Costs'!C:C,B65,'4. Equipment Costs'!B:B,$B$8)+SUMIFS('5. Subcontracting Costs'!H:H,'5. Subcontracting Costs'!C:C,B65,'5. Subcontracting Costs'!B:B,$B$8)</f>
        <v>0</v>
      </c>
      <c r="G65" s="54">
        <f>SUMIFS('1. Staff costs'!S:S,'1. Staff costs'!C:C,B65,'1. Staff costs'!B:B,$G$25)+SUMIFS('2-3. Travel Costs&amp;Costs of Stay'!N:N,'2-3. Travel Costs&amp;Costs of Stay'!C:C,B65,'2-3. Travel Costs&amp;Costs of Stay'!B:B,$G$25)+SUMIFS('4. Equipment Costs'!H:H,'4. Equipment Costs'!C:C,B65,'4. Equipment Costs'!B:B,$G$25)+SUMIFS('5. Subcontracting Costs'!H:H,'5. Subcontracting Costs'!C:C,B65,'5. Subcontracting Costs'!B:B,$G$25)</f>
        <v>0</v>
      </c>
      <c r="H65" s="61">
        <f>SUMIF('B. Special Mob Strand - Student'!B:B,B65,'B. Special Mob Strand - Student'!N:N)+SUMIF('B. Special Mob Strand - Staff'!B:B,B65,'B. Special Mob Strand - Staff'!N:N)</f>
        <v>0</v>
      </c>
      <c r="I65" s="64">
        <f t="shared" si="4"/>
        <v>0</v>
      </c>
    </row>
    <row r="66" spans="2:9" x14ac:dyDescent="0.35">
      <c r="B66" s="15" t="s">
        <v>141</v>
      </c>
      <c r="C66" s="54">
        <f>SUMIFS('1. Staff costs'!S:S,'1. Staff costs'!C:C,B66,'1. Staff costs'!B:B,$C$25)+SUMIFS('2-3. Travel Costs&amp;Costs of Stay'!N:N,'2-3. Travel Costs&amp;Costs of Stay'!C:C,B66,'2-3. Travel Costs&amp;Costs of Stay'!B:B,$C$25)+SUMIFS('4. Equipment Costs'!H:H,'4. Equipment Costs'!C:C,B66,'4. Equipment Costs'!B:B,$C$25)+SUMIFS('5. Subcontracting Costs'!H:H,'5. Subcontracting Costs'!C:C,B66,'5. Subcontracting Costs'!B:B,$C$25)</f>
        <v>0</v>
      </c>
      <c r="D66" s="54">
        <f>SUMIFS('1. Staff costs'!S:S,'1. Staff costs'!C:C,B66,'1. Staff costs'!B:B,$D$25)+SUMIFS('2-3. Travel Costs&amp;Costs of Stay'!N:N,'2-3. Travel Costs&amp;Costs of Stay'!C:C,B66,'2-3. Travel Costs&amp;Costs of Stay'!B:B,$D$25)+SUMIFS('4. Equipment Costs'!H:H,'4. Equipment Costs'!C:C,B66,'4. Equipment Costs'!B:B,$D$25)+SUMIFS('5. Subcontracting Costs'!H:H,'5. Subcontracting Costs'!C:C,B66,'5. Subcontracting Costs'!B:B,$D$25)</f>
        <v>0</v>
      </c>
      <c r="E66" s="54">
        <f>SUMIFS('1. Staff costs'!S:S,'1. Staff costs'!C:C,B66,'1. Staff costs'!B:B,$E$25)+SUMIFS('2-3. Travel Costs&amp;Costs of Stay'!N:N,'2-3. Travel Costs&amp;Costs of Stay'!C:C,B66,'2-3. Travel Costs&amp;Costs of Stay'!B:B,$E$25)+SUMIFS('4. Equipment Costs'!H:H,'4. Equipment Costs'!C:C,B66,'4. Equipment Costs'!B:B,$E$25)+SUMIFS('5. Subcontracting Costs'!H:H,'5. Subcontracting Costs'!C:C,B66,'5. Subcontracting Costs'!B:B,$E$25)</f>
        <v>0</v>
      </c>
      <c r="F66" s="54">
        <f>SUMIFS('1. Staff costs'!S:S,'1. Staff costs'!C:C,B66,'1. Staff costs'!B:B,$B$8)+SUMIFS('2-3. Travel Costs&amp;Costs of Stay'!N:N,'2-3. Travel Costs&amp;Costs of Stay'!C:C,B66,'2-3. Travel Costs&amp;Costs of Stay'!B:B,$B$8)+SUMIFS('4. Equipment Costs'!H:H,'4. Equipment Costs'!C:C,B66,'4. Equipment Costs'!B:B,$B$8)+SUMIFS('5. Subcontracting Costs'!H:H,'5. Subcontracting Costs'!C:C,B66,'5. Subcontracting Costs'!B:B,$B$8)</f>
        <v>0</v>
      </c>
      <c r="G66" s="54">
        <f>SUMIFS('1. Staff costs'!S:S,'1. Staff costs'!C:C,B66,'1. Staff costs'!B:B,$G$25)+SUMIFS('2-3. Travel Costs&amp;Costs of Stay'!N:N,'2-3. Travel Costs&amp;Costs of Stay'!C:C,B66,'2-3. Travel Costs&amp;Costs of Stay'!B:B,$G$25)+SUMIFS('4. Equipment Costs'!H:H,'4. Equipment Costs'!C:C,B66,'4. Equipment Costs'!B:B,$G$25)+SUMIFS('5. Subcontracting Costs'!H:H,'5. Subcontracting Costs'!C:C,B66,'5. Subcontracting Costs'!B:B,$G$25)</f>
        <v>0</v>
      </c>
      <c r="H66" s="61">
        <f>SUMIF('B. Special Mob Strand - Student'!B:B,B66,'B. Special Mob Strand - Student'!N:N)+SUMIF('B. Special Mob Strand - Staff'!B:B,B66,'B. Special Mob Strand - Staff'!N:N)</f>
        <v>0</v>
      </c>
      <c r="I66" s="64">
        <f t="shared" si="4"/>
        <v>0</v>
      </c>
    </row>
    <row r="67" spans="2:9" x14ac:dyDescent="0.35">
      <c r="B67" s="15" t="s">
        <v>142</v>
      </c>
      <c r="C67" s="54">
        <f>SUMIFS('1. Staff costs'!S:S,'1. Staff costs'!C:C,B67,'1. Staff costs'!B:B,$C$25)+SUMIFS('2-3. Travel Costs&amp;Costs of Stay'!N:N,'2-3. Travel Costs&amp;Costs of Stay'!C:C,B67,'2-3. Travel Costs&amp;Costs of Stay'!B:B,$C$25)+SUMIFS('4. Equipment Costs'!H:H,'4. Equipment Costs'!C:C,B67,'4. Equipment Costs'!B:B,$C$25)+SUMIFS('5. Subcontracting Costs'!H:H,'5. Subcontracting Costs'!C:C,B67,'5. Subcontracting Costs'!B:B,$C$25)</f>
        <v>0</v>
      </c>
      <c r="D67" s="54">
        <f>SUMIFS('1. Staff costs'!S:S,'1. Staff costs'!C:C,B67,'1. Staff costs'!B:B,$D$25)+SUMIFS('2-3. Travel Costs&amp;Costs of Stay'!N:N,'2-3. Travel Costs&amp;Costs of Stay'!C:C,B67,'2-3. Travel Costs&amp;Costs of Stay'!B:B,$D$25)+SUMIFS('4. Equipment Costs'!H:H,'4. Equipment Costs'!C:C,B67,'4. Equipment Costs'!B:B,$D$25)+SUMIFS('5. Subcontracting Costs'!H:H,'5. Subcontracting Costs'!C:C,B67,'5. Subcontracting Costs'!B:B,$D$25)</f>
        <v>0</v>
      </c>
      <c r="E67" s="54">
        <f>SUMIFS('1. Staff costs'!S:S,'1. Staff costs'!C:C,B67,'1. Staff costs'!B:B,$E$25)+SUMIFS('2-3. Travel Costs&amp;Costs of Stay'!N:N,'2-3. Travel Costs&amp;Costs of Stay'!C:C,B67,'2-3. Travel Costs&amp;Costs of Stay'!B:B,$E$25)+SUMIFS('4. Equipment Costs'!H:H,'4. Equipment Costs'!C:C,B67,'4. Equipment Costs'!B:B,$E$25)+SUMIFS('5. Subcontracting Costs'!H:H,'5. Subcontracting Costs'!C:C,B67,'5. Subcontracting Costs'!B:B,$E$25)</f>
        <v>0</v>
      </c>
      <c r="F67" s="54">
        <f>SUMIFS('1. Staff costs'!S:S,'1. Staff costs'!C:C,B67,'1. Staff costs'!B:B,$B$8)+SUMIFS('2-3. Travel Costs&amp;Costs of Stay'!N:N,'2-3. Travel Costs&amp;Costs of Stay'!C:C,B67,'2-3. Travel Costs&amp;Costs of Stay'!B:B,$B$8)+SUMIFS('4. Equipment Costs'!H:H,'4. Equipment Costs'!C:C,B67,'4. Equipment Costs'!B:B,$B$8)+SUMIFS('5. Subcontracting Costs'!H:H,'5. Subcontracting Costs'!C:C,B67,'5. Subcontracting Costs'!B:B,$B$8)</f>
        <v>0</v>
      </c>
      <c r="G67" s="54">
        <f>SUMIFS('1. Staff costs'!S:S,'1. Staff costs'!C:C,B67,'1. Staff costs'!B:B,$G$25)+SUMIFS('2-3. Travel Costs&amp;Costs of Stay'!N:N,'2-3. Travel Costs&amp;Costs of Stay'!C:C,B67,'2-3. Travel Costs&amp;Costs of Stay'!B:B,$G$25)+SUMIFS('4. Equipment Costs'!H:H,'4. Equipment Costs'!C:C,B67,'4. Equipment Costs'!B:B,$G$25)+SUMIFS('5. Subcontracting Costs'!H:H,'5. Subcontracting Costs'!C:C,B67,'5. Subcontracting Costs'!B:B,$G$25)</f>
        <v>0</v>
      </c>
      <c r="H67" s="61">
        <f>SUMIF('B. Special Mob Strand - Student'!B:B,B67,'B. Special Mob Strand - Student'!N:N)+SUMIF('B. Special Mob Strand - Staff'!B:B,B67,'B. Special Mob Strand - Staff'!N:N)</f>
        <v>0</v>
      </c>
      <c r="I67" s="64">
        <f t="shared" si="4"/>
        <v>0</v>
      </c>
    </row>
    <row r="68" spans="2:9" x14ac:dyDescent="0.35">
      <c r="B68" s="15" t="s">
        <v>143</v>
      </c>
      <c r="C68" s="54">
        <f>SUMIFS('1. Staff costs'!S:S,'1. Staff costs'!C:C,B68,'1. Staff costs'!B:B,$C$25)+SUMIFS('2-3. Travel Costs&amp;Costs of Stay'!N:N,'2-3. Travel Costs&amp;Costs of Stay'!C:C,B68,'2-3. Travel Costs&amp;Costs of Stay'!B:B,$C$25)+SUMIFS('4. Equipment Costs'!H:H,'4. Equipment Costs'!C:C,B68,'4. Equipment Costs'!B:B,$C$25)+SUMIFS('5. Subcontracting Costs'!H:H,'5. Subcontracting Costs'!C:C,B68,'5. Subcontracting Costs'!B:B,$C$25)</f>
        <v>0</v>
      </c>
      <c r="D68" s="54">
        <f>SUMIFS('1. Staff costs'!S:S,'1. Staff costs'!C:C,B68,'1. Staff costs'!B:B,$D$25)+SUMIFS('2-3. Travel Costs&amp;Costs of Stay'!N:N,'2-3. Travel Costs&amp;Costs of Stay'!C:C,B68,'2-3. Travel Costs&amp;Costs of Stay'!B:B,$D$25)+SUMIFS('4. Equipment Costs'!H:H,'4. Equipment Costs'!C:C,B68,'4. Equipment Costs'!B:B,$D$25)+SUMIFS('5. Subcontracting Costs'!H:H,'5. Subcontracting Costs'!C:C,B68,'5. Subcontracting Costs'!B:B,$D$25)</f>
        <v>0</v>
      </c>
      <c r="E68" s="54">
        <f>SUMIFS('1. Staff costs'!S:S,'1. Staff costs'!C:C,B68,'1. Staff costs'!B:B,$E$25)+SUMIFS('2-3. Travel Costs&amp;Costs of Stay'!N:N,'2-3. Travel Costs&amp;Costs of Stay'!C:C,B68,'2-3. Travel Costs&amp;Costs of Stay'!B:B,$E$25)+SUMIFS('4. Equipment Costs'!H:H,'4. Equipment Costs'!C:C,B68,'4. Equipment Costs'!B:B,$E$25)+SUMIFS('5. Subcontracting Costs'!H:H,'5. Subcontracting Costs'!C:C,B68,'5. Subcontracting Costs'!B:B,$E$25)</f>
        <v>0</v>
      </c>
      <c r="F68" s="54">
        <f>SUMIFS('1. Staff costs'!S:S,'1. Staff costs'!C:C,B68,'1. Staff costs'!B:B,$B$8)+SUMIFS('2-3. Travel Costs&amp;Costs of Stay'!N:N,'2-3. Travel Costs&amp;Costs of Stay'!C:C,B68,'2-3. Travel Costs&amp;Costs of Stay'!B:B,$B$8)+SUMIFS('4. Equipment Costs'!H:H,'4. Equipment Costs'!C:C,B68,'4. Equipment Costs'!B:B,$B$8)+SUMIFS('5. Subcontracting Costs'!H:H,'5. Subcontracting Costs'!C:C,B68,'5. Subcontracting Costs'!B:B,$B$8)</f>
        <v>0</v>
      </c>
      <c r="G68" s="54">
        <f>SUMIFS('1. Staff costs'!S:S,'1. Staff costs'!C:C,B68,'1. Staff costs'!B:B,$G$25)+SUMIFS('2-3. Travel Costs&amp;Costs of Stay'!N:N,'2-3. Travel Costs&amp;Costs of Stay'!C:C,B68,'2-3. Travel Costs&amp;Costs of Stay'!B:B,$G$25)+SUMIFS('4. Equipment Costs'!H:H,'4. Equipment Costs'!C:C,B68,'4. Equipment Costs'!B:B,$G$25)+SUMIFS('5. Subcontracting Costs'!H:H,'5. Subcontracting Costs'!C:C,B68,'5. Subcontracting Costs'!B:B,$G$25)</f>
        <v>0</v>
      </c>
      <c r="H68" s="61">
        <f>SUMIF('B. Special Mob Strand - Student'!B:B,B68,'B. Special Mob Strand - Student'!N:N)+SUMIF('B. Special Mob Strand - Staff'!B:B,B68,'B. Special Mob Strand - Staff'!N:N)</f>
        <v>0</v>
      </c>
      <c r="I68" s="64">
        <f t="shared" si="4"/>
        <v>0</v>
      </c>
    </row>
    <row r="69" spans="2:9" x14ac:dyDescent="0.35">
      <c r="B69" s="15" t="s">
        <v>144</v>
      </c>
      <c r="C69" s="54">
        <f>SUMIFS('1. Staff costs'!S:S,'1. Staff costs'!C:C,B69,'1. Staff costs'!B:B,$C$25)+SUMIFS('2-3. Travel Costs&amp;Costs of Stay'!N:N,'2-3. Travel Costs&amp;Costs of Stay'!C:C,B69,'2-3. Travel Costs&amp;Costs of Stay'!B:B,$C$25)+SUMIFS('4. Equipment Costs'!H:H,'4. Equipment Costs'!C:C,B69,'4. Equipment Costs'!B:B,$C$25)+SUMIFS('5. Subcontracting Costs'!H:H,'5. Subcontracting Costs'!C:C,B69,'5. Subcontracting Costs'!B:B,$C$25)</f>
        <v>0</v>
      </c>
      <c r="D69" s="54">
        <f>SUMIFS('1. Staff costs'!S:S,'1. Staff costs'!C:C,B69,'1. Staff costs'!B:B,$D$25)+SUMIFS('2-3. Travel Costs&amp;Costs of Stay'!N:N,'2-3. Travel Costs&amp;Costs of Stay'!C:C,B69,'2-3. Travel Costs&amp;Costs of Stay'!B:B,$D$25)+SUMIFS('4. Equipment Costs'!H:H,'4. Equipment Costs'!C:C,B69,'4. Equipment Costs'!B:B,$D$25)+SUMIFS('5. Subcontracting Costs'!H:H,'5. Subcontracting Costs'!C:C,B69,'5. Subcontracting Costs'!B:B,$D$25)</f>
        <v>0</v>
      </c>
      <c r="E69" s="54">
        <f>SUMIFS('1. Staff costs'!S:S,'1. Staff costs'!C:C,B69,'1. Staff costs'!B:B,$E$25)+SUMIFS('2-3. Travel Costs&amp;Costs of Stay'!N:N,'2-3. Travel Costs&amp;Costs of Stay'!C:C,B69,'2-3. Travel Costs&amp;Costs of Stay'!B:B,$E$25)+SUMIFS('4. Equipment Costs'!H:H,'4. Equipment Costs'!C:C,B69,'4. Equipment Costs'!B:B,$E$25)+SUMIFS('5. Subcontracting Costs'!H:H,'5. Subcontracting Costs'!C:C,B69,'5. Subcontracting Costs'!B:B,$E$25)</f>
        <v>0</v>
      </c>
      <c r="F69" s="54">
        <f>SUMIFS('1. Staff costs'!S:S,'1. Staff costs'!C:C,B69,'1. Staff costs'!B:B,$B$8)+SUMIFS('2-3. Travel Costs&amp;Costs of Stay'!N:N,'2-3. Travel Costs&amp;Costs of Stay'!C:C,B69,'2-3. Travel Costs&amp;Costs of Stay'!B:B,$B$8)+SUMIFS('4. Equipment Costs'!H:H,'4. Equipment Costs'!C:C,B69,'4. Equipment Costs'!B:B,$B$8)+SUMIFS('5. Subcontracting Costs'!H:H,'5. Subcontracting Costs'!C:C,B69,'5. Subcontracting Costs'!B:B,$B$8)</f>
        <v>0</v>
      </c>
      <c r="G69" s="54">
        <f>SUMIFS('1. Staff costs'!S:S,'1. Staff costs'!C:C,B69,'1. Staff costs'!B:B,$G$25)+SUMIFS('2-3. Travel Costs&amp;Costs of Stay'!N:N,'2-3. Travel Costs&amp;Costs of Stay'!C:C,B69,'2-3. Travel Costs&amp;Costs of Stay'!B:B,$G$25)+SUMIFS('4. Equipment Costs'!H:H,'4. Equipment Costs'!C:C,B69,'4. Equipment Costs'!B:B,$G$25)+SUMIFS('5. Subcontracting Costs'!H:H,'5. Subcontracting Costs'!C:C,B69,'5. Subcontracting Costs'!B:B,$G$25)</f>
        <v>0</v>
      </c>
      <c r="H69" s="61">
        <f>SUMIF('B. Special Mob Strand - Student'!B:B,B69,'B. Special Mob Strand - Student'!N:N)+SUMIF('B. Special Mob Strand - Staff'!B:B,B69,'B. Special Mob Strand - Staff'!N:N)</f>
        <v>0</v>
      </c>
      <c r="I69" s="64">
        <f t="shared" si="4"/>
        <v>0</v>
      </c>
    </row>
    <row r="70" spans="2:9" x14ac:dyDescent="0.35">
      <c r="B70" s="15" t="s">
        <v>145</v>
      </c>
      <c r="C70" s="54">
        <f>SUMIFS('1. Staff costs'!S:S,'1. Staff costs'!C:C,B70,'1. Staff costs'!B:B,$C$25)+SUMIFS('2-3. Travel Costs&amp;Costs of Stay'!N:N,'2-3. Travel Costs&amp;Costs of Stay'!C:C,B70,'2-3. Travel Costs&amp;Costs of Stay'!B:B,$C$25)+SUMIFS('4. Equipment Costs'!H:H,'4. Equipment Costs'!C:C,B70,'4. Equipment Costs'!B:B,$C$25)+SUMIFS('5. Subcontracting Costs'!H:H,'5. Subcontracting Costs'!C:C,B70,'5. Subcontracting Costs'!B:B,$C$25)</f>
        <v>0</v>
      </c>
      <c r="D70" s="54">
        <f>SUMIFS('1. Staff costs'!S:S,'1. Staff costs'!C:C,B70,'1. Staff costs'!B:B,$D$25)+SUMIFS('2-3. Travel Costs&amp;Costs of Stay'!N:N,'2-3. Travel Costs&amp;Costs of Stay'!C:C,B70,'2-3. Travel Costs&amp;Costs of Stay'!B:B,$D$25)+SUMIFS('4. Equipment Costs'!H:H,'4. Equipment Costs'!C:C,B70,'4. Equipment Costs'!B:B,$D$25)+SUMIFS('5. Subcontracting Costs'!H:H,'5. Subcontracting Costs'!C:C,B70,'5. Subcontracting Costs'!B:B,$D$25)</f>
        <v>0</v>
      </c>
      <c r="E70" s="54">
        <f>SUMIFS('1. Staff costs'!S:S,'1. Staff costs'!C:C,B70,'1. Staff costs'!B:B,$E$25)+SUMIFS('2-3. Travel Costs&amp;Costs of Stay'!N:N,'2-3. Travel Costs&amp;Costs of Stay'!C:C,B70,'2-3. Travel Costs&amp;Costs of Stay'!B:B,$E$25)+SUMIFS('4. Equipment Costs'!H:H,'4. Equipment Costs'!C:C,B70,'4. Equipment Costs'!B:B,$E$25)+SUMIFS('5. Subcontracting Costs'!H:H,'5. Subcontracting Costs'!C:C,B70,'5. Subcontracting Costs'!B:B,$E$25)</f>
        <v>0</v>
      </c>
      <c r="F70" s="54">
        <f>SUMIFS('1. Staff costs'!S:S,'1. Staff costs'!C:C,B70,'1. Staff costs'!B:B,$B$8)+SUMIFS('2-3. Travel Costs&amp;Costs of Stay'!N:N,'2-3. Travel Costs&amp;Costs of Stay'!C:C,B70,'2-3. Travel Costs&amp;Costs of Stay'!B:B,$B$8)+SUMIFS('4. Equipment Costs'!H:H,'4. Equipment Costs'!C:C,B70,'4. Equipment Costs'!B:B,$B$8)+SUMIFS('5. Subcontracting Costs'!H:H,'5. Subcontracting Costs'!C:C,B70,'5. Subcontracting Costs'!B:B,$B$8)</f>
        <v>0</v>
      </c>
      <c r="G70" s="54">
        <f>SUMIFS('1. Staff costs'!S:S,'1. Staff costs'!C:C,B70,'1. Staff costs'!B:B,$G$25)+SUMIFS('2-3. Travel Costs&amp;Costs of Stay'!N:N,'2-3. Travel Costs&amp;Costs of Stay'!C:C,B70,'2-3. Travel Costs&amp;Costs of Stay'!B:B,$G$25)+SUMIFS('4. Equipment Costs'!H:H,'4. Equipment Costs'!C:C,B70,'4. Equipment Costs'!B:B,$G$25)+SUMIFS('5. Subcontracting Costs'!H:H,'5. Subcontracting Costs'!C:C,B70,'5. Subcontracting Costs'!B:B,$G$25)</f>
        <v>0</v>
      </c>
      <c r="H70" s="61">
        <f>SUMIF('B. Special Mob Strand - Student'!B:B,B70,'B. Special Mob Strand - Student'!N:N)+SUMIF('B. Special Mob Strand - Staff'!B:B,B70,'B. Special Mob Strand - Staff'!N:N)</f>
        <v>0</v>
      </c>
      <c r="I70" s="64">
        <f t="shared" si="4"/>
        <v>0</v>
      </c>
    </row>
    <row r="71" spans="2:9" x14ac:dyDescent="0.35">
      <c r="B71" s="15" t="s">
        <v>146</v>
      </c>
      <c r="C71" s="54">
        <f>SUMIFS('1. Staff costs'!S:S,'1. Staff costs'!C:C,B71,'1. Staff costs'!B:B,$C$25)+SUMIFS('2-3. Travel Costs&amp;Costs of Stay'!N:N,'2-3. Travel Costs&amp;Costs of Stay'!C:C,B71,'2-3. Travel Costs&amp;Costs of Stay'!B:B,$C$25)+SUMIFS('4. Equipment Costs'!H:H,'4. Equipment Costs'!C:C,B71,'4. Equipment Costs'!B:B,$C$25)+SUMIFS('5. Subcontracting Costs'!H:H,'5. Subcontracting Costs'!C:C,B71,'5. Subcontracting Costs'!B:B,$C$25)</f>
        <v>0</v>
      </c>
      <c r="D71" s="54">
        <f>SUMIFS('1. Staff costs'!S:S,'1. Staff costs'!C:C,B71,'1. Staff costs'!B:B,$D$25)+SUMIFS('2-3. Travel Costs&amp;Costs of Stay'!N:N,'2-3. Travel Costs&amp;Costs of Stay'!C:C,B71,'2-3. Travel Costs&amp;Costs of Stay'!B:B,$D$25)+SUMIFS('4. Equipment Costs'!H:H,'4. Equipment Costs'!C:C,B71,'4. Equipment Costs'!B:B,$D$25)+SUMIFS('5. Subcontracting Costs'!H:H,'5. Subcontracting Costs'!C:C,B71,'5. Subcontracting Costs'!B:B,$D$25)</f>
        <v>0</v>
      </c>
      <c r="E71" s="54">
        <f>SUMIFS('1. Staff costs'!S:S,'1. Staff costs'!C:C,B71,'1. Staff costs'!B:B,$E$25)+SUMIFS('2-3. Travel Costs&amp;Costs of Stay'!N:N,'2-3. Travel Costs&amp;Costs of Stay'!C:C,B71,'2-3. Travel Costs&amp;Costs of Stay'!B:B,$E$25)+SUMIFS('4. Equipment Costs'!H:H,'4. Equipment Costs'!C:C,B71,'4. Equipment Costs'!B:B,$E$25)+SUMIFS('5. Subcontracting Costs'!H:H,'5. Subcontracting Costs'!C:C,B71,'5. Subcontracting Costs'!B:B,$E$25)</f>
        <v>0</v>
      </c>
      <c r="F71" s="54">
        <f>SUMIFS('1. Staff costs'!S:S,'1. Staff costs'!C:C,B71,'1. Staff costs'!B:B,$B$8)+SUMIFS('2-3. Travel Costs&amp;Costs of Stay'!N:N,'2-3. Travel Costs&amp;Costs of Stay'!C:C,B71,'2-3. Travel Costs&amp;Costs of Stay'!B:B,$B$8)+SUMIFS('4. Equipment Costs'!H:H,'4. Equipment Costs'!C:C,B71,'4. Equipment Costs'!B:B,$B$8)+SUMIFS('5. Subcontracting Costs'!H:H,'5. Subcontracting Costs'!C:C,B71,'5. Subcontracting Costs'!B:B,$B$8)</f>
        <v>0</v>
      </c>
      <c r="G71" s="54">
        <f>SUMIFS('1. Staff costs'!S:S,'1. Staff costs'!C:C,B71,'1. Staff costs'!B:B,$G$25)+SUMIFS('2-3. Travel Costs&amp;Costs of Stay'!N:N,'2-3. Travel Costs&amp;Costs of Stay'!C:C,B71,'2-3. Travel Costs&amp;Costs of Stay'!B:B,$G$25)+SUMIFS('4. Equipment Costs'!H:H,'4. Equipment Costs'!C:C,B71,'4. Equipment Costs'!B:B,$G$25)+SUMIFS('5. Subcontracting Costs'!H:H,'5. Subcontracting Costs'!C:C,B71,'5. Subcontracting Costs'!B:B,$G$25)</f>
        <v>0</v>
      </c>
      <c r="H71" s="61">
        <f>SUMIF('B. Special Mob Strand - Student'!B:B,B71,'B. Special Mob Strand - Student'!N:N)+SUMIF('B. Special Mob Strand - Staff'!B:B,B71,'B. Special Mob Strand - Staff'!N:N)</f>
        <v>0</v>
      </c>
      <c r="I71" s="64">
        <f t="shared" si="4"/>
        <v>0</v>
      </c>
    </row>
    <row r="72" spans="2:9" x14ac:dyDescent="0.35">
      <c r="B72" s="15" t="s">
        <v>147</v>
      </c>
      <c r="C72" s="54">
        <f>SUMIFS('1. Staff costs'!S:S,'1. Staff costs'!C:C,B72,'1. Staff costs'!B:B,$C$25)+SUMIFS('2-3. Travel Costs&amp;Costs of Stay'!N:N,'2-3. Travel Costs&amp;Costs of Stay'!C:C,B72,'2-3. Travel Costs&amp;Costs of Stay'!B:B,$C$25)+SUMIFS('4. Equipment Costs'!H:H,'4. Equipment Costs'!C:C,B72,'4. Equipment Costs'!B:B,$C$25)+SUMIFS('5. Subcontracting Costs'!H:H,'5. Subcontracting Costs'!C:C,B72,'5. Subcontracting Costs'!B:B,$C$25)</f>
        <v>0</v>
      </c>
      <c r="D72" s="54">
        <f>SUMIFS('1. Staff costs'!S:S,'1. Staff costs'!C:C,B72,'1. Staff costs'!B:B,$D$25)+SUMIFS('2-3. Travel Costs&amp;Costs of Stay'!N:N,'2-3. Travel Costs&amp;Costs of Stay'!C:C,B72,'2-3. Travel Costs&amp;Costs of Stay'!B:B,$D$25)+SUMIFS('4. Equipment Costs'!H:H,'4. Equipment Costs'!C:C,B72,'4. Equipment Costs'!B:B,$D$25)+SUMIFS('5. Subcontracting Costs'!H:H,'5. Subcontracting Costs'!C:C,B72,'5. Subcontracting Costs'!B:B,$D$25)</f>
        <v>0</v>
      </c>
      <c r="E72" s="54">
        <f>SUMIFS('1. Staff costs'!S:S,'1. Staff costs'!C:C,B72,'1. Staff costs'!B:B,$E$25)+SUMIFS('2-3. Travel Costs&amp;Costs of Stay'!N:N,'2-3. Travel Costs&amp;Costs of Stay'!C:C,B72,'2-3. Travel Costs&amp;Costs of Stay'!B:B,$E$25)+SUMIFS('4. Equipment Costs'!H:H,'4. Equipment Costs'!C:C,B72,'4. Equipment Costs'!B:B,$E$25)+SUMIFS('5. Subcontracting Costs'!H:H,'5. Subcontracting Costs'!C:C,B72,'5. Subcontracting Costs'!B:B,$E$25)</f>
        <v>0</v>
      </c>
      <c r="F72" s="54">
        <f>SUMIFS('1. Staff costs'!S:S,'1. Staff costs'!C:C,B72,'1. Staff costs'!B:B,$B$8)+SUMIFS('2-3. Travel Costs&amp;Costs of Stay'!N:N,'2-3. Travel Costs&amp;Costs of Stay'!C:C,B72,'2-3. Travel Costs&amp;Costs of Stay'!B:B,$B$8)+SUMIFS('4. Equipment Costs'!H:H,'4. Equipment Costs'!C:C,B72,'4. Equipment Costs'!B:B,$B$8)+SUMIFS('5. Subcontracting Costs'!H:H,'5. Subcontracting Costs'!C:C,B72,'5. Subcontracting Costs'!B:B,$B$8)</f>
        <v>0</v>
      </c>
      <c r="G72" s="54">
        <f>SUMIFS('1. Staff costs'!S:S,'1. Staff costs'!C:C,B72,'1. Staff costs'!B:B,$G$25)+SUMIFS('2-3. Travel Costs&amp;Costs of Stay'!N:N,'2-3. Travel Costs&amp;Costs of Stay'!C:C,B72,'2-3. Travel Costs&amp;Costs of Stay'!B:B,$G$25)+SUMIFS('4. Equipment Costs'!H:H,'4. Equipment Costs'!C:C,B72,'4. Equipment Costs'!B:B,$G$25)+SUMIFS('5. Subcontracting Costs'!H:H,'5. Subcontracting Costs'!C:C,B72,'5. Subcontracting Costs'!B:B,$G$25)</f>
        <v>0</v>
      </c>
      <c r="H72" s="61">
        <f>SUMIF('B. Special Mob Strand - Student'!B:B,B72,'B. Special Mob Strand - Student'!N:N)+SUMIF('B. Special Mob Strand - Staff'!B:B,B72,'B. Special Mob Strand - Staff'!N:N)</f>
        <v>0</v>
      </c>
      <c r="I72" s="64">
        <f t="shared" si="4"/>
        <v>0</v>
      </c>
    </row>
    <row r="73" spans="2:9" x14ac:dyDescent="0.35">
      <c r="B73" s="15" t="s">
        <v>148</v>
      </c>
      <c r="C73" s="54">
        <f>SUMIFS('1. Staff costs'!S:S,'1. Staff costs'!C:C,B73,'1. Staff costs'!B:B,$C$25)+SUMIFS('2-3. Travel Costs&amp;Costs of Stay'!N:N,'2-3. Travel Costs&amp;Costs of Stay'!C:C,B73,'2-3. Travel Costs&amp;Costs of Stay'!B:B,$C$25)+SUMIFS('4. Equipment Costs'!H:H,'4. Equipment Costs'!C:C,B73,'4. Equipment Costs'!B:B,$C$25)+SUMIFS('5. Subcontracting Costs'!H:H,'5. Subcontracting Costs'!C:C,B73,'5. Subcontracting Costs'!B:B,$C$25)</f>
        <v>0</v>
      </c>
      <c r="D73" s="54">
        <f>SUMIFS('1. Staff costs'!S:S,'1. Staff costs'!C:C,B73,'1. Staff costs'!B:B,$D$25)+SUMIFS('2-3. Travel Costs&amp;Costs of Stay'!N:N,'2-3. Travel Costs&amp;Costs of Stay'!C:C,B73,'2-3. Travel Costs&amp;Costs of Stay'!B:B,$D$25)+SUMIFS('4. Equipment Costs'!H:H,'4. Equipment Costs'!C:C,B73,'4. Equipment Costs'!B:B,$D$25)+SUMIFS('5. Subcontracting Costs'!H:H,'5. Subcontracting Costs'!C:C,B73,'5. Subcontracting Costs'!B:B,$D$25)</f>
        <v>0</v>
      </c>
      <c r="E73" s="54">
        <f>SUMIFS('1. Staff costs'!S:S,'1. Staff costs'!C:C,B73,'1. Staff costs'!B:B,$E$25)+SUMIFS('2-3. Travel Costs&amp;Costs of Stay'!N:N,'2-3. Travel Costs&amp;Costs of Stay'!C:C,B73,'2-3. Travel Costs&amp;Costs of Stay'!B:B,$E$25)+SUMIFS('4. Equipment Costs'!H:H,'4. Equipment Costs'!C:C,B73,'4. Equipment Costs'!B:B,$E$25)+SUMIFS('5. Subcontracting Costs'!H:H,'5. Subcontracting Costs'!C:C,B73,'5. Subcontracting Costs'!B:B,$E$25)</f>
        <v>0</v>
      </c>
      <c r="F73" s="54">
        <f>SUMIFS('1. Staff costs'!S:S,'1. Staff costs'!C:C,B73,'1. Staff costs'!B:B,$B$8)+SUMIFS('2-3. Travel Costs&amp;Costs of Stay'!N:N,'2-3. Travel Costs&amp;Costs of Stay'!C:C,B73,'2-3. Travel Costs&amp;Costs of Stay'!B:B,$B$8)+SUMIFS('4. Equipment Costs'!H:H,'4. Equipment Costs'!C:C,B73,'4. Equipment Costs'!B:B,$B$8)+SUMIFS('5. Subcontracting Costs'!H:H,'5. Subcontracting Costs'!C:C,B73,'5. Subcontracting Costs'!B:B,$B$8)</f>
        <v>0</v>
      </c>
      <c r="G73" s="54">
        <f>SUMIFS('1. Staff costs'!S:S,'1. Staff costs'!C:C,B73,'1. Staff costs'!B:B,$G$25)+SUMIFS('2-3. Travel Costs&amp;Costs of Stay'!N:N,'2-3. Travel Costs&amp;Costs of Stay'!C:C,B73,'2-3. Travel Costs&amp;Costs of Stay'!B:B,$G$25)+SUMIFS('4. Equipment Costs'!H:H,'4. Equipment Costs'!C:C,B73,'4. Equipment Costs'!B:B,$G$25)+SUMIFS('5. Subcontracting Costs'!H:H,'5. Subcontracting Costs'!C:C,B73,'5. Subcontracting Costs'!B:B,$G$25)</f>
        <v>0</v>
      </c>
      <c r="H73" s="61">
        <f>SUMIF('B. Special Mob Strand - Student'!B:B,B73,'B. Special Mob Strand - Student'!N:N)+SUMIF('B. Special Mob Strand - Staff'!B:B,B73,'B. Special Mob Strand - Staff'!N:N)</f>
        <v>0</v>
      </c>
      <c r="I73" s="64">
        <f t="shared" si="4"/>
        <v>0</v>
      </c>
    </row>
    <row r="74" spans="2:9" x14ac:dyDescent="0.35">
      <c r="B74" s="15" t="s">
        <v>149</v>
      </c>
      <c r="C74" s="54">
        <f>SUMIFS('1. Staff costs'!S:S,'1. Staff costs'!C:C,B74,'1. Staff costs'!B:B,$C$25)+SUMIFS('2-3. Travel Costs&amp;Costs of Stay'!N:N,'2-3. Travel Costs&amp;Costs of Stay'!C:C,B74,'2-3. Travel Costs&amp;Costs of Stay'!B:B,$C$25)+SUMIFS('4. Equipment Costs'!H:H,'4. Equipment Costs'!C:C,B74,'4. Equipment Costs'!B:B,$C$25)+SUMIFS('5. Subcontracting Costs'!H:H,'5. Subcontracting Costs'!C:C,B74,'5. Subcontracting Costs'!B:B,$C$25)</f>
        <v>0</v>
      </c>
      <c r="D74" s="54">
        <f>SUMIFS('1. Staff costs'!S:S,'1. Staff costs'!C:C,B74,'1. Staff costs'!B:B,$D$25)+SUMIFS('2-3. Travel Costs&amp;Costs of Stay'!N:N,'2-3. Travel Costs&amp;Costs of Stay'!C:C,B74,'2-3. Travel Costs&amp;Costs of Stay'!B:B,$D$25)+SUMIFS('4. Equipment Costs'!H:H,'4. Equipment Costs'!C:C,B74,'4. Equipment Costs'!B:B,$D$25)+SUMIFS('5. Subcontracting Costs'!H:H,'5. Subcontracting Costs'!C:C,B74,'5. Subcontracting Costs'!B:B,$D$25)</f>
        <v>0</v>
      </c>
      <c r="E74" s="54">
        <f>SUMIFS('1. Staff costs'!S:S,'1. Staff costs'!C:C,B74,'1. Staff costs'!B:B,$E$25)+SUMIFS('2-3. Travel Costs&amp;Costs of Stay'!N:N,'2-3. Travel Costs&amp;Costs of Stay'!C:C,B74,'2-3. Travel Costs&amp;Costs of Stay'!B:B,$E$25)+SUMIFS('4. Equipment Costs'!H:H,'4. Equipment Costs'!C:C,B74,'4. Equipment Costs'!B:B,$E$25)+SUMIFS('5. Subcontracting Costs'!H:H,'5. Subcontracting Costs'!C:C,B74,'5. Subcontracting Costs'!B:B,$E$25)</f>
        <v>0</v>
      </c>
      <c r="F74" s="54">
        <f>SUMIFS('1. Staff costs'!S:S,'1. Staff costs'!C:C,B74,'1. Staff costs'!B:B,$B$8)+SUMIFS('2-3. Travel Costs&amp;Costs of Stay'!N:N,'2-3. Travel Costs&amp;Costs of Stay'!C:C,B74,'2-3. Travel Costs&amp;Costs of Stay'!B:B,$B$8)+SUMIFS('4. Equipment Costs'!H:H,'4. Equipment Costs'!C:C,B74,'4. Equipment Costs'!B:B,$B$8)+SUMIFS('5. Subcontracting Costs'!H:H,'5. Subcontracting Costs'!C:C,B74,'5. Subcontracting Costs'!B:B,$B$8)</f>
        <v>0</v>
      </c>
      <c r="G74" s="54">
        <f>SUMIFS('1. Staff costs'!S:S,'1. Staff costs'!C:C,B74,'1. Staff costs'!B:B,$G$25)+SUMIFS('2-3. Travel Costs&amp;Costs of Stay'!N:N,'2-3. Travel Costs&amp;Costs of Stay'!C:C,B74,'2-3. Travel Costs&amp;Costs of Stay'!B:B,$G$25)+SUMIFS('4. Equipment Costs'!H:H,'4. Equipment Costs'!C:C,B74,'4. Equipment Costs'!B:B,$G$25)+SUMIFS('5. Subcontracting Costs'!H:H,'5. Subcontracting Costs'!C:C,B74,'5. Subcontracting Costs'!B:B,$G$25)</f>
        <v>0</v>
      </c>
      <c r="H74" s="61">
        <f>SUMIF('B. Special Mob Strand - Student'!B:B,B74,'B. Special Mob Strand - Student'!N:N)+SUMIF('B. Special Mob Strand - Staff'!B:B,B74,'B. Special Mob Strand - Staff'!N:N)</f>
        <v>0</v>
      </c>
      <c r="I74" s="64">
        <f t="shared" si="4"/>
        <v>0</v>
      </c>
    </row>
    <row r="75" spans="2:9" x14ac:dyDescent="0.35">
      <c r="B75" s="15" t="s">
        <v>150</v>
      </c>
      <c r="C75" s="54">
        <f>SUMIFS('1. Staff costs'!S:S,'1. Staff costs'!C:C,B75,'1. Staff costs'!B:B,$C$25)+SUMIFS('2-3. Travel Costs&amp;Costs of Stay'!N:N,'2-3. Travel Costs&amp;Costs of Stay'!C:C,B75,'2-3. Travel Costs&amp;Costs of Stay'!B:B,$C$25)+SUMIFS('4. Equipment Costs'!H:H,'4. Equipment Costs'!C:C,B75,'4. Equipment Costs'!B:B,$C$25)+SUMIFS('5. Subcontracting Costs'!H:H,'5. Subcontracting Costs'!C:C,B75,'5. Subcontracting Costs'!B:B,$C$25)</f>
        <v>0</v>
      </c>
      <c r="D75" s="54">
        <f>SUMIFS('1. Staff costs'!S:S,'1. Staff costs'!C:C,B75,'1. Staff costs'!B:B,$D$25)+SUMIFS('2-3. Travel Costs&amp;Costs of Stay'!N:N,'2-3. Travel Costs&amp;Costs of Stay'!C:C,B75,'2-3. Travel Costs&amp;Costs of Stay'!B:B,$D$25)+SUMIFS('4. Equipment Costs'!H:H,'4. Equipment Costs'!C:C,B75,'4. Equipment Costs'!B:B,$D$25)+SUMIFS('5. Subcontracting Costs'!H:H,'5. Subcontracting Costs'!C:C,B75,'5. Subcontracting Costs'!B:B,$D$25)</f>
        <v>0</v>
      </c>
      <c r="E75" s="54">
        <f>SUMIFS('1. Staff costs'!S:S,'1. Staff costs'!C:C,B75,'1. Staff costs'!B:B,$E$25)+SUMIFS('2-3. Travel Costs&amp;Costs of Stay'!N:N,'2-3. Travel Costs&amp;Costs of Stay'!C:C,B75,'2-3. Travel Costs&amp;Costs of Stay'!B:B,$E$25)+SUMIFS('4. Equipment Costs'!H:H,'4. Equipment Costs'!C:C,B75,'4. Equipment Costs'!B:B,$E$25)+SUMIFS('5. Subcontracting Costs'!H:H,'5. Subcontracting Costs'!C:C,B75,'5. Subcontracting Costs'!B:B,$E$25)</f>
        <v>0</v>
      </c>
      <c r="F75" s="54">
        <f>SUMIFS('1. Staff costs'!S:S,'1. Staff costs'!C:C,B75,'1. Staff costs'!B:B,$B$8)+SUMIFS('2-3. Travel Costs&amp;Costs of Stay'!N:N,'2-3. Travel Costs&amp;Costs of Stay'!C:C,B75,'2-3. Travel Costs&amp;Costs of Stay'!B:B,$B$8)+SUMIFS('4. Equipment Costs'!H:H,'4. Equipment Costs'!C:C,B75,'4. Equipment Costs'!B:B,$B$8)+SUMIFS('5. Subcontracting Costs'!H:H,'5. Subcontracting Costs'!C:C,B75,'5. Subcontracting Costs'!B:B,$B$8)</f>
        <v>0</v>
      </c>
      <c r="G75" s="54">
        <f>SUMIFS('1. Staff costs'!S:S,'1. Staff costs'!C:C,B75,'1. Staff costs'!B:B,$G$25)+SUMIFS('2-3. Travel Costs&amp;Costs of Stay'!N:N,'2-3. Travel Costs&amp;Costs of Stay'!C:C,B75,'2-3. Travel Costs&amp;Costs of Stay'!B:B,$G$25)+SUMIFS('4. Equipment Costs'!H:H,'4. Equipment Costs'!C:C,B75,'4. Equipment Costs'!B:B,$G$25)+SUMIFS('5. Subcontracting Costs'!H:H,'5. Subcontracting Costs'!C:C,B75,'5. Subcontracting Costs'!B:B,$G$25)</f>
        <v>0</v>
      </c>
      <c r="H75" s="61">
        <f>SUMIF('B. Special Mob Strand - Student'!B:B,B75,'B. Special Mob Strand - Student'!N:N)+SUMIF('B. Special Mob Strand - Staff'!B:B,B75,'B. Special Mob Strand - Staff'!N:N)</f>
        <v>0</v>
      </c>
      <c r="I75" s="64">
        <f t="shared" si="4"/>
        <v>0</v>
      </c>
    </row>
    <row r="76" spans="2:9" x14ac:dyDescent="0.35">
      <c r="B76" s="15" t="s">
        <v>163</v>
      </c>
      <c r="C76" s="54">
        <f>SUMIFS('1. Staff costs'!S:S,'1. Staff costs'!C:C,B76,'1. Staff costs'!B:B,$C$25)+SUMIFS('2-3. Travel Costs&amp;Costs of Stay'!N:N,'2-3. Travel Costs&amp;Costs of Stay'!C:C,B76,'2-3. Travel Costs&amp;Costs of Stay'!B:B,$C$25)+SUMIFS('4. Equipment Costs'!H:H,'4. Equipment Costs'!C:C,B76,'4. Equipment Costs'!B:B,$C$25)+SUMIFS('5. Subcontracting Costs'!H:H,'5. Subcontracting Costs'!C:C,B76,'5. Subcontracting Costs'!B:B,$C$25)</f>
        <v>0</v>
      </c>
      <c r="D76" s="54">
        <f>SUMIFS('1. Staff costs'!S:S,'1. Staff costs'!C:C,B76,'1. Staff costs'!B:B,$D$25)+SUMIFS('2-3. Travel Costs&amp;Costs of Stay'!N:N,'2-3. Travel Costs&amp;Costs of Stay'!C:C,B76,'2-3. Travel Costs&amp;Costs of Stay'!B:B,$D$25)+SUMIFS('4. Equipment Costs'!H:H,'4. Equipment Costs'!C:C,B76,'4. Equipment Costs'!B:B,$D$25)+SUMIFS('5. Subcontracting Costs'!H:H,'5. Subcontracting Costs'!C:C,B76,'5. Subcontracting Costs'!B:B,$D$25)</f>
        <v>0</v>
      </c>
      <c r="E76" s="54">
        <f>SUMIFS('1. Staff costs'!S:S,'1. Staff costs'!C:C,B76,'1. Staff costs'!B:B,$E$25)+SUMIFS('2-3. Travel Costs&amp;Costs of Stay'!N:N,'2-3. Travel Costs&amp;Costs of Stay'!C:C,B76,'2-3. Travel Costs&amp;Costs of Stay'!B:B,$E$25)+SUMIFS('4. Equipment Costs'!H:H,'4. Equipment Costs'!C:C,B76,'4. Equipment Costs'!B:B,$E$25)+SUMIFS('5. Subcontracting Costs'!H:H,'5. Subcontracting Costs'!C:C,B76,'5. Subcontracting Costs'!B:B,$E$25)</f>
        <v>0</v>
      </c>
      <c r="F76" s="54">
        <f>SUMIFS('1. Staff costs'!S:S,'1. Staff costs'!C:C,B76,'1. Staff costs'!B:B,$B$8)+SUMIFS('2-3. Travel Costs&amp;Costs of Stay'!N:N,'2-3. Travel Costs&amp;Costs of Stay'!C:C,B76,'2-3. Travel Costs&amp;Costs of Stay'!B:B,$B$8)+SUMIFS('4. Equipment Costs'!H:H,'4. Equipment Costs'!C:C,B76,'4. Equipment Costs'!B:B,$B$8)+SUMIFS('5. Subcontracting Costs'!H:H,'5. Subcontracting Costs'!C:C,B76,'5. Subcontracting Costs'!B:B,$B$8)</f>
        <v>0</v>
      </c>
      <c r="G76" s="54">
        <f>SUMIFS('1. Staff costs'!S:S,'1. Staff costs'!C:C,B76,'1. Staff costs'!B:B,$G$25)+SUMIFS('2-3. Travel Costs&amp;Costs of Stay'!N:N,'2-3. Travel Costs&amp;Costs of Stay'!C:C,B76,'2-3. Travel Costs&amp;Costs of Stay'!B:B,$G$25)+SUMIFS('4. Equipment Costs'!H:H,'4. Equipment Costs'!C:C,B76,'4. Equipment Costs'!B:B,$G$25)+SUMIFS('5. Subcontracting Costs'!H:H,'5. Subcontracting Costs'!C:C,B76,'5. Subcontracting Costs'!B:B,$G$25)</f>
        <v>0</v>
      </c>
      <c r="H76" s="61">
        <f>SUMIF('B. Special Mob Strand - Student'!B:B,B76,'B. Special Mob Strand - Student'!N:N)+SUMIF('B. Special Mob Strand - Staff'!B:B,B76,'B. Special Mob Strand - Staff'!N:N)</f>
        <v>0</v>
      </c>
      <c r="I76" s="64">
        <f t="shared" si="4"/>
        <v>0</v>
      </c>
    </row>
    <row r="77" spans="2:9" x14ac:dyDescent="0.35">
      <c r="B77" s="15" t="s">
        <v>164</v>
      </c>
      <c r="C77" s="54">
        <f>SUMIFS('1. Staff costs'!S:S,'1. Staff costs'!C:C,B77,'1. Staff costs'!B:B,$C$25)+SUMIFS('2-3. Travel Costs&amp;Costs of Stay'!N:N,'2-3. Travel Costs&amp;Costs of Stay'!C:C,B77,'2-3. Travel Costs&amp;Costs of Stay'!B:B,$C$25)+SUMIFS('4. Equipment Costs'!H:H,'4. Equipment Costs'!C:C,B77,'4. Equipment Costs'!B:B,$C$25)+SUMIFS('5. Subcontracting Costs'!H:H,'5. Subcontracting Costs'!C:C,B77,'5. Subcontracting Costs'!B:B,$C$25)</f>
        <v>0</v>
      </c>
      <c r="D77" s="54">
        <f>SUMIFS('1. Staff costs'!S:S,'1. Staff costs'!C:C,B77,'1. Staff costs'!B:B,$D$25)+SUMIFS('2-3. Travel Costs&amp;Costs of Stay'!N:N,'2-3. Travel Costs&amp;Costs of Stay'!C:C,B77,'2-3. Travel Costs&amp;Costs of Stay'!B:B,$D$25)+SUMIFS('4. Equipment Costs'!H:H,'4. Equipment Costs'!C:C,B77,'4. Equipment Costs'!B:B,$D$25)+SUMIFS('5. Subcontracting Costs'!H:H,'5. Subcontracting Costs'!C:C,B77,'5. Subcontracting Costs'!B:B,$D$25)</f>
        <v>0</v>
      </c>
      <c r="E77" s="54">
        <f>SUMIFS('1. Staff costs'!S:S,'1. Staff costs'!C:C,B77,'1. Staff costs'!B:B,$E$25)+SUMIFS('2-3. Travel Costs&amp;Costs of Stay'!N:N,'2-3. Travel Costs&amp;Costs of Stay'!C:C,B77,'2-3. Travel Costs&amp;Costs of Stay'!B:B,$E$25)+SUMIFS('4. Equipment Costs'!H:H,'4. Equipment Costs'!C:C,B77,'4. Equipment Costs'!B:B,$E$25)+SUMIFS('5. Subcontracting Costs'!H:H,'5. Subcontracting Costs'!C:C,B77,'5. Subcontracting Costs'!B:B,$E$25)</f>
        <v>0</v>
      </c>
      <c r="F77" s="54">
        <f>SUMIFS('1. Staff costs'!S:S,'1. Staff costs'!C:C,B77,'1. Staff costs'!B:B,$B$8)+SUMIFS('2-3. Travel Costs&amp;Costs of Stay'!N:N,'2-3. Travel Costs&amp;Costs of Stay'!C:C,B77,'2-3. Travel Costs&amp;Costs of Stay'!B:B,$B$8)+SUMIFS('4. Equipment Costs'!H:H,'4. Equipment Costs'!C:C,B77,'4. Equipment Costs'!B:B,$B$8)+SUMIFS('5. Subcontracting Costs'!H:H,'5. Subcontracting Costs'!C:C,B77,'5. Subcontracting Costs'!B:B,$B$8)</f>
        <v>0</v>
      </c>
      <c r="G77" s="54">
        <f>SUMIFS('1. Staff costs'!S:S,'1. Staff costs'!C:C,B77,'1. Staff costs'!B:B,$G$25)+SUMIFS('2-3. Travel Costs&amp;Costs of Stay'!N:N,'2-3. Travel Costs&amp;Costs of Stay'!C:C,B77,'2-3. Travel Costs&amp;Costs of Stay'!B:B,$G$25)+SUMIFS('4. Equipment Costs'!H:H,'4. Equipment Costs'!C:C,B77,'4. Equipment Costs'!B:B,$G$25)+SUMIFS('5. Subcontracting Costs'!H:H,'5. Subcontracting Costs'!C:C,B77,'5. Subcontracting Costs'!B:B,$G$25)</f>
        <v>0</v>
      </c>
      <c r="H77" s="61">
        <f>SUMIF('B. Special Mob Strand - Student'!B:B,B77,'B. Special Mob Strand - Student'!N:N)+SUMIF('B. Special Mob Strand - Staff'!B:B,B77,'B. Special Mob Strand - Staff'!N:N)</f>
        <v>0</v>
      </c>
      <c r="I77" s="64">
        <f t="shared" si="4"/>
        <v>0</v>
      </c>
    </row>
    <row r="78" spans="2:9" x14ac:dyDescent="0.35">
      <c r="B78" s="15" t="s">
        <v>165</v>
      </c>
      <c r="C78" s="54">
        <f>SUMIFS('1. Staff costs'!S:S,'1. Staff costs'!C:C,B78,'1. Staff costs'!B:B,$C$25)+SUMIFS('2-3. Travel Costs&amp;Costs of Stay'!N:N,'2-3. Travel Costs&amp;Costs of Stay'!C:C,B78,'2-3. Travel Costs&amp;Costs of Stay'!B:B,$C$25)+SUMIFS('4. Equipment Costs'!H:H,'4. Equipment Costs'!C:C,B78,'4. Equipment Costs'!B:B,$C$25)+SUMIFS('5. Subcontracting Costs'!H:H,'5. Subcontracting Costs'!C:C,B78,'5. Subcontracting Costs'!B:B,$C$25)</f>
        <v>0</v>
      </c>
      <c r="D78" s="54">
        <f>SUMIFS('1. Staff costs'!S:S,'1. Staff costs'!C:C,B78,'1. Staff costs'!B:B,$D$25)+SUMIFS('2-3. Travel Costs&amp;Costs of Stay'!N:N,'2-3. Travel Costs&amp;Costs of Stay'!C:C,B78,'2-3. Travel Costs&amp;Costs of Stay'!B:B,$D$25)+SUMIFS('4. Equipment Costs'!H:H,'4. Equipment Costs'!C:C,B78,'4. Equipment Costs'!B:B,$D$25)+SUMIFS('5. Subcontracting Costs'!H:H,'5. Subcontracting Costs'!C:C,B78,'5. Subcontracting Costs'!B:B,$D$25)</f>
        <v>0</v>
      </c>
      <c r="E78" s="54">
        <f>SUMIFS('1. Staff costs'!S:S,'1. Staff costs'!C:C,B78,'1. Staff costs'!B:B,$E$25)+SUMIFS('2-3. Travel Costs&amp;Costs of Stay'!N:N,'2-3. Travel Costs&amp;Costs of Stay'!C:C,B78,'2-3. Travel Costs&amp;Costs of Stay'!B:B,$E$25)+SUMIFS('4. Equipment Costs'!H:H,'4. Equipment Costs'!C:C,B78,'4. Equipment Costs'!B:B,$E$25)+SUMIFS('5. Subcontracting Costs'!H:H,'5. Subcontracting Costs'!C:C,B78,'5. Subcontracting Costs'!B:B,$E$25)</f>
        <v>0</v>
      </c>
      <c r="F78" s="54">
        <f>SUMIFS('1. Staff costs'!S:S,'1. Staff costs'!C:C,B78,'1. Staff costs'!B:B,$B$8)+SUMIFS('2-3. Travel Costs&amp;Costs of Stay'!N:N,'2-3. Travel Costs&amp;Costs of Stay'!C:C,B78,'2-3. Travel Costs&amp;Costs of Stay'!B:B,$B$8)+SUMIFS('4. Equipment Costs'!H:H,'4. Equipment Costs'!C:C,B78,'4. Equipment Costs'!B:B,$B$8)+SUMIFS('5. Subcontracting Costs'!H:H,'5. Subcontracting Costs'!C:C,B78,'5. Subcontracting Costs'!B:B,$B$8)</f>
        <v>0</v>
      </c>
      <c r="G78" s="54">
        <f>SUMIFS('1. Staff costs'!S:S,'1. Staff costs'!C:C,B78,'1. Staff costs'!B:B,$G$25)+SUMIFS('2-3. Travel Costs&amp;Costs of Stay'!N:N,'2-3. Travel Costs&amp;Costs of Stay'!C:C,B78,'2-3. Travel Costs&amp;Costs of Stay'!B:B,$G$25)+SUMIFS('4. Equipment Costs'!H:H,'4. Equipment Costs'!C:C,B78,'4. Equipment Costs'!B:B,$G$25)+SUMIFS('5. Subcontracting Costs'!H:H,'5. Subcontracting Costs'!C:C,B78,'5. Subcontracting Costs'!B:B,$G$25)</f>
        <v>0</v>
      </c>
      <c r="H78" s="61">
        <f>SUMIF('B. Special Mob Strand - Student'!B:B,B78,'B. Special Mob Strand - Student'!N:N)+SUMIF('B. Special Mob Strand - Staff'!B:B,B78,'B. Special Mob Strand - Staff'!N:N)</f>
        <v>0</v>
      </c>
      <c r="I78" s="64">
        <f t="shared" si="4"/>
        <v>0</v>
      </c>
    </row>
    <row r="79" spans="2:9" x14ac:dyDescent="0.35">
      <c r="B79" s="15" t="s">
        <v>166</v>
      </c>
      <c r="C79" s="54">
        <f>SUMIFS('1. Staff costs'!S:S,'1. Staff costs'!C:C,B79,'1. Staff costs'!B:B,$C$25)+SUMIFS('2-3. Travel Costs&amp;Costs of Stay'!N:N,'2-3. Travel Costs&amp;Costs of Stay'!C:C,B79,'2-3. Travel Costs&amp;Costs of Stay'!B:B,$C$25)+SUMIFS('4. Equipment Costs'!H:H,'4. Equipment Costs'!C:C,B79,'4. Equipment Costs'!B:B,$C$25)+SUMIFS('5. Subcontracting Costs'!H:H,'5. Subcontracting Costs'!C:C,B79,'5. Subcontracting Costs'!B:B,$C$25)</f>
        <v>0</v>
      </c>
      <c r="D79" s="54">
        <f>SUMIFS('1. Staff costs'!S:S,'1. Staff costs'!C:C,B79,'1. Staff costs'!B:B,$D$25)+SUMIFS('2-3. Travel Costs&amp;Costs of Stay'!N:N,'2-3. Travel Costs&amp;Costs of Stay'!C:C,B79,'2-3. Travel Costs&amp;Costs of Stay'!B:B,$D$25)+SUMIFS('4. Equipment Costs'!H:H,'4. Equipment Costs'!C:C,B79,'4. Equipment Costs'!B:B,$D$25)+SUMIFS('5. Subcontracting Costs'!H:H,'5. Subcontracting Costs'!C:C,B79,'5. Subcontracting Costs'!B:B,$D$25)</f>
        <v>0</v>
      </c>
      <c r="E79" s="54">
        <f>SUMIFS('1. Staff costs'!S:S,'1. Staff costs'!C:C,B79,'1. Staff costs'!B:B,$E$25)+SUMIFS('2-3. Travel Costs&amp;Costs of Stay'!N:N,'2-3. Travel Costs&amp;Costs of Stay'!C:C,B79,'2-3. Travel Costs&amp;Costs of Stay'!B:B,$E$25)+SUMIFS('4. Equipment Costs'!H:H,'4. Equipment Costs'!C:C,B79,'4. Equipment Costs'!B:B,$E$25)+SUMIFS('5. Subcontracting Costs'!H:H,'5. Subcontracting Costs'!C:C,B79,'5. Subcontracting Costs'!B:B,$E$25)</f>
        <v>0</v>
      </c>
      <c r="F79" s="54">
        <f>SUMIFS('1. Staff costs'!S:S,'1. Staff costs'!C:C,B79,'1. Staff costs'!B:B,$B$8)+SUMIFS('2-3. Travel Costs&amp;Costs of Stay'!N:N,'2-3. Travel Costs&amp;Costs of Stay'!C:C,B79,'2-3. Travel Costs&amp;Costs of Stay'!B:B,$B$8)+SUMIFS('4. Equipment Costs'!H:H,'4. Equipment Costs'!C:C,B79,'4. Equipment Costs'!B:B,$B$8)+SUMIFS('5. Subcontracting Costs'!H:H,'5. Subcontracting Costs'!C:C,B79,'5. Subcontracting Costs'!B:B,$B$8)</f>
        <v>0</v>
      </c>
      <c r="G79" s="54">
        <f>SUMIFS('1. Staff costs'!S:S,'1. Staff costs'!C:C,B79,'1. Staff costs'!B:B,$G$25)+SUMIFS('2-3. Travel Costs&amp;Costs of Stay'!N:N,'2-3. Travel Costs&amp;Costs of Stay'!C:C,B79,'2-3. Travel Costs&amp;Costs of Stay'!B:B,$G$25)+SUMIFS('4. Equipment Costs'!H:H,'4. Equipment Costs'!C:C,B79,'4. Equipment Costs'!B:B,$G$25)+SUMIFS('5. Subcontracting Costs'!H:H,'5. Subcontracting Costs'!C:C,B79,'5. Subcontracting Costs'!B:B,$G$25)</f>
        <v>0</v>
      </c>
      <c r="H79" s="61">
        <f>SUMIF('B. Special Mob Strand - Student'!B:B,B79,'B. Special Mob Strand - Student'!N:N)+SUMIF('B. Special Mob Strand - Staff'!B:B,B79,'B. Special Mob Strand - Staff'!N:N)</f>
        <v>0</v>
      </c>
      <c r="I79" s="64">
        <f t="shared" si="4"/>
        <v>0</v>
      </c>
    </row>
    <row r="80" spans="2:9" x14ac:dyDescent="0.35">
      <c r="B80" s="15" t="s">
        <v>167</v>
      </c>
      <c r="C80" s="54">
        <f>SUMIFS('1. Staff costs'!S:S,'1. Staff costs'!C:C,B80,'1. Staff costs'!B:B,$C$25)+SUMIFS('2-3. Travel Costs&amp;Costs of Stay'!N:N,'2-3. Travel Costs&amp;Costs of Stay'!C:C,B80,'2-3. Travel Costs&amp;Costs of Stay'!B:B,$C$25)+SUMIFS('4. Equipment Costs'!H:H,'4. Equipment Costs'!C:C,B80,'4. Equipment Costs'!B:B,$C$25)+SUMIFS('5. Subcontracting Costs'!H:H,'5. Subcontracting Costs'!C:C,B80,'5. Subcontracting Costs'!B:B,$C$25)</f>
        <v>0</v>
      </c>
      <c r="D80" s="54">
        <f>SUMIFS('1. Staff costs'!S:S,'1. Staff costs'!C:C,B80,'1. Staff costs'!B:B,$D$25)+SUMIFS('2-3. Travel Costs&amp;Costs of Stay'!N:N,'2-3. Travel Costs&amp;Costs of Stay'!C:C,B80,'2-3. Travel Costs&amp;Costs of Stay'!B:B,$D$25)+SUMIFS('4. Equipment Costs'!H:H,'4. Equipment Costs'!C:C,B80,'4. Equipment Costs'!B:B,$D$25)+SUMIFS('5. Subcontracting Costs'!H:H,'5. Subcontracting Costs'!C:C,B80,'5. Subcontracting Costs'!B:B,$D$25)</f>
        <v>0</v>
      </c>
      <c r="E80" s="54">
        <f>SUMIFS('1. Staff costs'!S:S,'1. Staff costs'!C:C,B80,'1. Staff costs'!B:B,$E$25)+SUMIFS('2-3. Travel Costs&amp;Costs of Stay'!N:N,'2-3. Travel Costs&amp;Costs of Stay'!C:C,B80,'2-3. Travel Costs&amp;Costs of Stay'!B:B,$E$25)+SUMIFS('4. Equipment Costs'!H:H,'4. Equipment Costs'!C:C,B80,'4. Equipment Costs'!B:B,$E$25)+SUMIFS('5. Subcontracting Costs'!H:H,'5. Subcontracting Costs'!C:C,B80,'5. Subcontracting Costs'!B:B,$E$25)</f>
        <v>0</v>
      </c>
      <c r="F80" s="54">
        <f>SUMIFS('1. Staff costs'!S:S,'1. Staff costs'!C:C,B80,'1. Staff costs'!B:B,$B$8)+SUMIFS('2-3. Travel Costs&amp;Costs of Stay'!N:N,'2-3. Travel Costs&amp;Costs of Stay'!C:C,B80,'2-3. Travel Costs&amp;Costs of Stay'!B:B,$B$8)+SUMIFS('4. Equipment Costs'!H:H,'4. Equipment Costs'!C:C,B80,'4. Equipment Costs'!B:B,$B$8)+SUMIFS('5. Subcontracting Costs'!H:H,'5. Subcontracting Costs'!C:C,B80,'5. Subcontracting Costs'!B:B,$B$8)</f>
        <v>0</v>
      </c>
      <c r="G80" s="54">
        <f>SUMIFS('1. Staff costs'!S:S,'1. Staff costs'!C:C,B80,'1. Staff costs'!B:B,$G$25)+SUMIFS('2-3. Travel Costs&amp;Costs of Stay'!N:N,'2-3. Travel Costs&amp;Costs of Stay'!C:C,B80,'2-3. Travel Costs&amp;Costs of Stay'!B:B,$G$25)+SUMIFS('4. Equipment Costs'!H:H,'4. Equipment Costs'!C:C,B80,'4. Equipment Costs'!B:B,$G$25)+SUMIFS('5. Subcontracting Costs'!H:H,'5. Subcontracting Costs'!C:C,B80,'5. Subcontracting Costs'!B:B,$G$25)</f>
        <v>0</v>
      </c>
      <c r="H80" s="61">
        <f>SUMIF('B. Special Mob Strand - Student'!B:B,B80,'B. Special Mob Strand - Student'!N:N)+SUMIF('B. Special Mob Strand - Staff'!B:B,B80,'B. Special Mob Strand - Staff'!N:N)</f>
        <v>0</v>
      </c>
      <c r="I80" s="64">
        <f t="shared" si="4"/>
        <v>0</v>
      </c>
    </row>
    <row r="81" spans="2:9" x14ac:dyDescent="0.35">
      <c r="B81" s="65" t="s">
        <v>132</v>
      </c>
      <c r="C81" s="55">
        <f>SUM(C26:C80)</f>
        <v>104877.5</v>
      </c>
      <c r="D81" s="55">
        <f t="shared" ref="D81:H81" si="5">SUM(D26:D80)</f>
        <v>536337</v>
      </c>
      <c r="E81" s="55">
        <f t="shared" si="5"/>
        <v>53759</v>
      </c>
      <c r="F81" s="55">
        <f t="shared" si="5"/>
        <v>190493.5</v>
      </c>
      <c r="G81" s="55">
        <f t="shared" si="5"/>
        <v>101892</v>
      </c>
      <c r="H81" s="57">
        <f t="shared" si="5"/>
        <v>0</v>
      </c>
      <c r="I81" s="66">
        <f>SUM(C81:H81)</f>
        <v>987359</v>
      </c>
    </row>
  </sheetData>
  <sheetProtection password="E359" sheet="1" objects="1" scenarios="1" selectLockedCells="1" selectUnlockedCells="1"/>
  <dataConsolidate/>
  <mergeCells count="4">
    <mergeCell ref="B2:I2"/>
    <mergeCell ref="B14:I14"/>
    <mergeCell ref="H5:H9"/>
    <mergeCell ref="B23:I23"/>
  </mergeCells>
  <conditionalFormatting sqref="B2:E2">
    <cfRule type="cellIs" dxfId="17" priority="131" stopIfTrue="1" operator="equal">
      <formula>"&gt; 30 %"</formula>
    </cfRule>
  </conditionalFormatting>
  <conditionalFormatting sqref="C4">
    <cfRule type="cellIs" dxfId="16" priority="44" stopIfTrue="1" operator="equal">
      <formula>"ERROR"</formula>
    </cfRule>
  </conditionalFormatting>
  <conditionalFormatting sqref="F4">
    <cfRule type="cellIs" dxfId="15" priority="42" stopIfTrue="1" operator="equal">
      <formula>"ERROR"</formula>
    </cfRule>
  </conditionalFormatting>
  <conditionalFormatting sqref="D4:E4">
    <cfRule type="cellIs" dxfId="14" priority="43" stopIfTrue="1" operator="equal">
      <formula>"ERROR"</formula>
    </cfRule>
  </conditionalFormatting>
  <conditionalFormatting sqref="G4:H4">
    <cfRule type="cellIs" dxfId="13" priority="41" stopIfTrue="1" operator="equal">
      <formula>"ERROR"</formula>
    </cfRule>
  </conditionalFormatting>
  <conditionalFormatting sqref="I4">
    <cfRule type="cellIs" dxfId="12" priority="40" stopIfTrue="1" operator="equal">
      <formula>"ERROR"</formula>
    </cfRule>
  </conditionalFormatting>
  <conditionalFormatting sqref="B14:E14">
    <cfRule type="cellIs" dxfId="11" priority="25" stopIfTrue="1" operator="equal">
      <formula>"&gt; 30 %"</formula>
    </cfRule>
  </conditionalFormatting>
  <conditionalFormatting sqref="I16">
    <cfRule type="cellIs" dxfId="10" priority="26" stopIfTrue="1" operator="equal">
      <formula>"ERROR"</formula>
    </cfRule>
  </conditionalFormatting>
  <conditionalFormatting sqref="B10">
    <cfRule type="cellIs" dxfId="9" priority="21" stopIfTrue="1" operator="equal">
      <formula>"ERROR"</formula>
    </cfRule>
  </conditionalFormatting>
  <conditionalFormatting sqref="B19">
    <cfRule type="cellIs" dxfId="8" priority="20" stopIfTrue="1" operator="equal">
      <formula>"ERROR"</formula>
    </cfRule>
  </conditionalFormatting>
  <conditionalFormatting sqref="C16">
    <cfRule type="cellIs" dxfId="7" priority="11" stopIfTrue="1" operator="equal">
      <formula>"ERROR"</formula>
    </cfRule>
  </conditionalFormatting>
  <conditionalFormatting sqref="F16">
    <cfRule type="cellIs" dxfId="6" priority="9" stopIfTrue="1" operator="equal">
      <formula>"ERROR"</formula>
    </cfRule>
  </conditionalFormatting>
  <conditionalFormatting sqref="D16:E16">
    <cfRule type="cellIs" dxfId="5" priority="10" stopIfTrue="1" operator="equal">
      <formula>"ERROR"</formula>
    </cfRule>
  </conditionalFormatting>
  <conditionalFormatting sqref="G16:H16">
    <cfRule type="cellIs" dxfId="4" priority="8" stopIfTrue="1" operator="equal">
      <formula>"ERROR"</formula>
    </cfRule>
  </conditionalFormatting>
  <conditionalFormatting sqref="B23:E23">
    <cfRule type="cellIs" dxfId="3" priority="6" stopIfTrue="1" operator="equal">
      <formula>"&gt; 30 %"</formula>
    </cfRule>
  </conditionalFormatting>
  <conditionalFormatting sqref="H26:H80">
    <cfRule type="cellIs" dxfId="2" priority="4" stopIfTrue="1" operator="equal">
      <formula>"ERROR"</formula>
    </cfRule>
  </conditionalFormatting>
  <conditionalFormatting sqref="I25">
    <cfRule type="cellIs" dxfId="1" priority="3" stopIfTrue="1" operator="equal">
      <formula>"ERROR"</formula>
    </cfRule>
  </conditionalFormatting>
  <conditionalFormatting sqref="H25">
    <cfRule type="cellIs" dxfId="0" priority="2" stopIfTrue="1" operator="equal">
      <formula>"ERROR"</formula>
    </cfRule>
  </conditionalFormatting>
  <printOptions horizontalCentered="1"/>
  <pageMargins left="0.23622047244094491" right="0.23622047244094491" top="0.39370078740157483" bottom="0.94488188976377963" header="0.31496062992125984" footer="0.31496062992125984"/>
  <pageSetup paperSize="9" scale="50" orientation="portrait" r:id="rId1"/>
  <headerFooter>
    <oddFooter xml:space="preserve">&amp;CPage &amp;P of 3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D064EDA8D54A746B4AFB9B8DA9CF420" ma:contentTypeVersion="3" ma:contentTypeDescription="Create a new document." ma:contentTypeScope="" ma:versionID="c1d4cdee0e9381974a459762b30c79b1">
  <xsd:schema xmlns:xsd="http://www.w3.org/2001/XMLSchema" xmlns:xs="http://www.w3.org/2001/XMLSchema" xmlns:p="http://schemas.microsoft.com/office/2006/metadata/properties" targetNamespace="http://schemas.microsoft.com/office/2006/metadata/properties" ma:root="true" ma:fieldsID="9ae757f7b8b52896942f31a7e220db7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FB2861-ECA0-4B0A-9CC6-B62988A7DC03}">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4B91489F-FE4A-47B2-96B3-2DD11B60A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D25AC76-73EC-4808-94BA-4863B589F5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34</vt:i4>
      </vt:variant>
    </vt:vector>
  </HeadingPairs>
  <TitlesOfParts>
    <vt:vector size="45" baseType="lpstr">
      <vt:lpstr>Overview</vt:lpstr>
      <vt:lpstr>1. Staff costs</vt:lpstr>
      <vt:lpstr>2-3. Travel Costs&amp;Costs of Stay</vt:lpstr>
      <vt:lpstr>4. Equipment Costs</vt:lpstr>
      <vt:lpstr>5. Subcontracting Costs</vt:lpstr>
      <vt:lpstr>B. Special Mob Strand - Student</vt:lpstr>
      <vt:lpstr>B. Special Mob Strand - Staff</vt:lpstr>
      <vt:lpstr>Co-financing</vt:lpstr>
      <vt:lpstr>Breakdown &amp; Project Funding</vt:lpstr>
      <vt:lpstr>Rates</vt:lpstr>
      <vt:lpstr>Unit Costs &amp; Funding Rule</vt:lpstr>
      <vt:lpstr>ActionType</vt:lpstr>
      <vt:lpstr>Category</vt:lpstr>
      <vt:lpstr>Category2</vt:lpstr>
      <vt:lpstr>CountryALL</vt:lpstr>
      <vt:lpstr>CountryEligEquip</vt:lpstr>
      <vt:lpstr>CountryType</vt:lpstr>
      <vt:lpstr>Duration</vt:lpstr>
      <vt:lpstr>EUCountry</vt:lpstr>
      <vt:lpstr>PartnerN°</vt:lpstr>
      <vt:lpstr>PartnerN°Ref</vt:lpstr>
      <vt:lpstr>'1. Staff costs'!Print_Area</vt:lpstr>
      <vt:lpstr>'2-3. Travel Costs&amp;Costs of Stay'!Print_Area</vt:lpstr>
      <vt:lpstr>'4. Equipment Costs'!Print_Area</vt:lpstr>
      <vt:lpstr>'5. Subcontracting Costs'!Print_Area</vt:lpstr>
      <vt:lpstr>'B. Special Mob Strand - Staff'!Print_Area</vt:lpstr>
      <vt:lpstr>'B. Special Mob Strand - Student'!Print_Area</vt:lpstr>
      <vt:lpstr>'Breakdown &amp; Project Funding'!Print_Area</vt:lpstr>
      <vt:lpstr>'Co-financing'!Print_Area</vt:lpstr>
      <vt:lpstr>Overview!Print_Area</vt:lpstr>
      <vt:lpstr>'Unit Costs &amp; Funding Rule'!Print_Area</vt:lpstr>
      <vt:lpstr>'2-3. Travel Costs&amp;Costs of Stay'!Print_Titles</vt:lpstr>
      <vt:lpstr>'4. Equipment Costs'!Print_Titles</vt:lpstr>
      <vt:lpstr>'5. Subcontracting Costs'!Print_Titles</vt:lpstr>
      <vt:lpstr>'B. Special Mob Strand - Staff'!Print_Titles</vt:lpstr>
      <vt:lpstr>'B. Special Mob Strand - Student'!Print_Titles</vt:lpstr>
      <vt:lpstr>'Breakdown &amp; Project Funding'!Print_Titles</vt:lpstr>
      <vt:lpstr>'Co-financing'!Print_Titles</vt:lpstr>
      <vt:lpstr>Rates</vt:lpstr>
      <vt:lpstr>SMSCountry</vt:lpstr>
      <vt:lpstr>StaffSMSDays</vt:lpstr>
      <vt:lpstr>StudentSMSMonths</vt:lpstr>
      <vt:lpstr>TravelBands</vt:lpstr>
      <vt:lpstr>TravelCosts</vt:lpstr>
      <vt:lpstr>WorkPackage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Alliaces detailed Budget v.1.0</dc:title>
  <dc:creator>CARBONI Damiano (EACEA)</dc:creator>
  <dc:description>Alliances detailed budget V.1.0</dc:description>
  <cp:lastModifiedBy>Raul</cp:lastModifiedBy>
  <cp:lastPrinted>2015-10-29T13:56:03Z</cp:lastPrinted>
  <dcterms:created xsi:type="dcterms:W3CDTF">2013-09-27T15:40:24Z</dcterms:created>
  <dcterms:modified xsi:type="dcterms:W3CDTF">2017-03-31T14:26:25Z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0x0101001D064EDA8D54A746B4AFB9B8DA9CF420</vt:lpwstr>
  </property>
</Properties>
</file>